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activeTab="0"/>
  </bookViews>
  <sheets>
    <sheet name="Build" sheetId="1" r:id="rId1"/>
    <sheet name="Front" sheetId="2" r:id="rId2"/>
    <sheet name="Back" sheetId="3" r:id="rId3"/>
    <sheet name="Legend" sheetId="4" r:id="rId4"/>
    <sheet name="Elem" sheetId="5" r:id="rId5"/>
    <sheet name="Ill" sheetId="6" r:id="rId6"/>
    <sheet name="Neth" sheetId="7" r:id="rId7"/>
    <sheet name="Wiz" sheetId="8" r:id="rId8"/>
    <sheet name="Tables" sheetId="9" r:id="rId9"/>
    <sheet name="Diciplines" sheetId="10" r:id="rId10"/>
    <sheet name="Talents" sheetId="11" r:id="rId11"/>
    <sheet name="Spells" sheetId="12" r:id="rId12"/>
  </sheets>
  <definedNames>
    <definedName name="ActionDice">'Tables'!$C$5</definedName>
    <definedName name="Age">'Build'!$D$10</definedName>
    <definedName name="Appearance">'Build'!$D$15</definedName>
    <definedName name="ArmorCostMult">'Build'!#REF!</definedName>
    <definedName name="ArmorWeightMult">'Build'!#REF!</definedName>
    <definedName name="attrib">'Tables'!$E$17</definedName>
    <definedName name="AttribCarry">'Tables'!$I$17</definedName>
    <definedName name="AttribCost">'Tables'!$Q$17:$R$33</definedName>
    <definedName name="AttribDeathRating">'Tables'!$K$17</definedName>
    <definedName name="AttribDef">'Tables'!$F$17</definedName>
    <definedName name="AttribLift">'Tables'!$J$17</definedName>
    <definedName name="AttribMoveCombat">'Tables'!$H$17</definedName>
    <definedName name="AttribMoveFull">'Tables'!$G$17</definedName>
    <definedName name="AttribMysArm">'Tables'!$O$17</definedName>
    <definedName name="AttribRecTests">'Tables'!$N$17</definedName>
    <definedName name="AttribTable">'Tables'!$E$18:$O$47</definedName>
    <definedName name="AttribUncRating">'Tables'!$L$17</definedName>
    <definedName name="AttribWoundThr">'Tables'!$M$17</definedName>
    <definedName name="big">#REF!</definedName>
    <definedName name="chadie">'Build'!$M$486</definedName>
    <definedName name="Charisma">'Build'!$K$486</definedName>
    <definedName name="ChaStep">'Build'!$L$486</definedName>
    <definedName name="Circle1">'Build'!$V$8</definedName>
    <definedName name="Circle2">'Build'!$V$10</definedName>
    <definedName name="cirin">#REF!</definedName>
    <definedName name="Cost_1_4">'Tables'!$U$17</definedName>
    <definedName name="Cost_13_15">'Tables'!$X$17</definedName>
    <definedName name="Cost_5_8">'Tables'!$V$17</definedName>
    <definedName name="Cost_9_12">'Tables'!$W$17</definedName>
    <definedName name="CostSkill">'Tables'!$AA$17</definedName>
    <definedName name="CostStat">'Tables'!$R$37</definedName>
    <definedName name="dexdie">'Build'!$M$481</definedName>
    <definedName name="DexStep">'Build'!$L$481</definedName>
    <definedName name="Dexterity">'Build'!$K$481</definedName>
    <definedName name="Dic1">'Build'!$C$478</definedName>
    <definedName name="Dic2">'Build'!$D$478</definedName>
    <definedName name="Dicipline1">'Build'!$V$7</definedName>
    <definedName name="Dicipline2">'Build'!$V$9</definedName>
    <definedName name="Dwarf">'Tables'!$E$5</definedName>
    <definedName name="Elf">'Tables'!$E$6</definedName>
    <definedName name="Eyes">'Build'!$D$14</definedName>
    <definedName name="Hair">'Build'!$D$13</definedName>
    <definedName name="Height">'Build'!$D$11</definedName>
    <definedName name="Human">'Tables'!$E$7</definedName>
    <definedName name="Improvements">'Diciplines'!$C$49:$Y$73</definedName>
    <definedName name="INIT">'Build'!$G$495</definedName>
    <definedName name="KarmaMax">'Build'!$N$495</definedName>
    <definedName name="knackfordic">'Diciplines'!$C$77:$Y$90</definedName>
    <definedName name="Knacks">'Diciplines'!$C$77:$Y$92</definedName>
    <definedName name="KnacksList">'Talents'!$H$3:$L$129</definedName>
    <definedName name="Move">'Build'!$M$495</definedName>
    <definedName name="MysArm">'Build'!$L$495</definedName>
    <definedName name="Name">'Build'!$D$7</definedName>
    <definedName name="nspell">'Spells'!$V$3:$AD$64</definedName>
    <definedName name="NumArmCost">'Build'!#REF!</definedName>
    <definedName name="NumArmWeight">'Build'!#REF!</definedName>
    <definedName name="Numberth">'Tables'!$Y$17</definedName>
    <definedName name="NumCha">'Build'!#REF!</definedName>
    <definedName name="NumDex">'Build'!#REF!</definedName>
    <definedName name="NumKarmaCost">'Build'!#REF!</definedName>
    <definedName name="NumKarmaDie">'Build'!#REF!</definedName>
    <definedName name="NumKarmaMax">'Build'!#REF!</definedName>
    <definedName name="NumKarmaStart">'Build'!#REF!</definedName>
    <definedName name="NumMove">'Build'!#REF!</definedName>
    <definedName name="NumName">'Build'!#REF!</definedName>
    <definedName name="NumPer">'Build'!#REF!</definedName>
    <definedName name="NumSize1H">'Build'!#REF!</definedName>
    <definedName name="NumSize2H">'Build'!#REF!</definedName>
    <definedName name="NumSizeMin">'Build'!#REF!</definedName>
    <definedName name="NumSizeMissile">'Build'!#REF!</definedName>
    <definedName name="NumSpec">'Build'!#REF!</definedName>
    <definedName name="NumStr">'Build'!#REF!</definedName>
    <definedName name="Numth">'Tables'!$Z$17</definedName>
    <definedName name="NumTou">'Build'!#REF!</definedName>
    <definedName name="NumWil">'Build'!#REF!</definedName>
    <definedName name="Obsidiman">'Tables'!$E$8</definedName>
    <definedName name="Ork">'Tables'!$E$9</definedName>
    <definedName name="PD">'Build'!$D$495</definedName>
    <definedName name="Perception">'Build'!$K$484</definedName>
    <definedName name="perdie">'Build'!$M$484</definedName>
    <definedName name="PerStep">'Build'!$L$484</definedName>
    <definedName name="PhysArm">'Build'!$K$495</definedName>
    <definedName name="_xlnm.Print_Area" localSheetId="0">'Build'!$A$1:$AF$463</definedName>
    <definedName name="Race">'Build'!$D$8</definedName>
    <definedName name="RaceArmorCost">'Build'!$S$478</definedName>
    <definedName name="RaceArmorWeight">'Build'!$R$478</definedName>
    <definedName name="RaceCha">'Build'!$J$478</definedName>
    <definedName name="RaceDex">'Build'!$E$478</definedName>
    <definedName name="RaceDie">'Build'!$N$478</definedName>
    <definedName name="RaceKarmaCost">'Build'!$O$478</definedName>
    <definedName name="RaceKarmaDie">'Build'!$N$478</definedName>
    <definedName name="RaceKarmaMax">'Build'!$Q$478</definedName>
    <definedName name="RaceKarmaStart">'Build'!$P$478</definedName>
    <definedName name="RaceMove">'Build'!$K$478</definedName>
    <definedName name="RaceName">'Build'!$M$478</definedName>
    <definedName name="RacePer">'Build'!$H$478</definedName>
    <definedName name="Races">'Tables'!$E$5:$E$12</definedName>
    <definedName name="RaceSpecial">'Build'!$L$478</definedName>
    <definedName name="RaceStr">'Build'!$F$478</definedName>
    <definedName name="RaceTou">'Build'!$G$478</definedName>
    <definedName name="RaceWeapon1H">'Build'!$T$478</definedName>
    <definedName name="RaceWeapon2H">'Build'!$U$478</definedName>
    <definedName name="RaceWeaponMin">'Build'!$V$478</definedName>
    <definedName name="RaceWeaponMissile">'Build'!$W$478</definedName>
    <definedName name="RaceWil">'Build'!$I$478</definedName>
    <definedName name="RacialHeader">'Tables'!$F$4:$X$4</definedName>
    <definedName name="RacialTable">'Tables'!$E$5:$X$12</definedName>
    <definedName name="RankCha">'Build'!$W$23</definedName>
    <definedName name="RankDex">'Build'!$W$18</definedName>
    <definedName name="RankINIT">'Build'!$W$29</definedName>
    <definedName name="RankMysArm">'Build'!$W$27</definedName>
    <definedName name="RankPD">'Build'!$W$24</definedName>
    <definedName name="RankPer">'Build'!$W$21</definedName>
    <definedName name="RankRecStep">'Build'!$W$30</definedName>
    <definedName name="RankSD">'Build'!$W$25</definedName>
    <definedName name="RankSOD">'Build'!$W$26</definedName>
    <definedName name="RankStr">'Build'!$W$19</definedName>
    <definedName name="RankTou">'Build'!$W$20</definedName>
    <definedName name="RankWil">'Build'!$W$22</definedName>
    <definedName name="RankWoundThr">'Build'!$W$28</definedName>
    <definedName name="REC">'Build'!$H$495</definedName>
    <definedName name="RecStep">'Build'!$I$495</definedName>
    <definedName name="SD">'Build'!$E$495</definedName>
    <definedName name="Sex">'Build'!$D$9</definedName>
    <definedName name="SOD">'Build'!$F$495</definedName>
    <definedName name="SpecCha">'Build'!$S$290</definedName>
    <definedName name="SpecDex">'Build'!$S$285</definedName>
    <definedName name="SpecInit">'Build'!$S$280</definedName>
    <definedName name="SpecMaxKarma">'Build'!$S$291</definedName>
    <definedName name="SpecMove">'Build'!$S$284</definedName>
    <definedName name="SpecMysArm">'Build'!$S$279</definedName>
    <definedName name="SpecPD">'Build'!$S$275</definedName>
    <definedName name="SpecPer">'Build'!$S$288</definedName>
    <definedName name="SpecPhysArm">'Build'!$S$278</definedName>
    <definedName name="SpecRecStep">'Build'!$S$282</definedName>
    <definedName name="SpecRecTests">'Build'!$S$281</definedName>
    <definedName name="SpecSD">'Build'!$S$276</definedName>
    <definedName name="SpecSOD">'Build'!$S$277</definedName>
    <definedName name="SpecStr">'Build'!$S$286</definedName>
    <definedName name="SpecTou">'Build'!$S$287</definedName>
    <definedName name="SpecWil">'Build'!$S$289</definedName>
    <definedName name="SpecWoundThr">'Build'!$S$283</definedName>
    <definedName name="StatIncCost">'Tables'!$Q$38:$R$42</definedName>
    <definedName name="stats">'Build'!#REF!</definedName>
    <definedName name="strdie">'Build'!$M$482</definedName>
    <definedName name="Strength">'Build'!$K$482</definedName>
    <definedName name="StrStep">'Build'!$L$482</definedName>
    <definedName name="talentfordisc">'Diciplines'!$C$3:$Y$40</definedName>
    <definedName name="talents">'Talents'!$B$3:$F$278</definedName>
    <definedName name="Title1">'Build'!$R$488</definedName>
    <definedName name="Title2">'Build'!$R$491</definedName>
    <definedName name="toudie">'Build'!$M$483</definedName>
    <definedName name="Toughness">'Build'!$K$483</definedName>
    <definedName name="TouStep">'Build'!$L$483</definedName>
    <definedName name="Troll">'Tables'!$E$11</definedName>
    <definedName name="Tskrang">'Tables'!$E$10</definedName>
    <definedName name="WeapSize1H">'Build'!#REF!</definedName>
    <definedName name="WeapSize2H">'Build'!#REF!</definedName>
    <definedName name="WeapSizeMin">'Build'!#REF!</definedName>
    <definedName name="WeapSizeMissile">'Build'!#REF!</definedName>
    <definedName name="Weight">'Build'!$D$12</definedName>
    <definedName name="wildie">'Build'!$M$485</definedName>
    <definedName name="Willpower">'Build'!$K$485</definedName>
    <definedName name="WilStep">'Build'!$L$485</definedName>
    <definedName name="Windling">'Tables'!$E$12</definedName>
    <definedName name="WND">'Build'!$J$495</definedName>
  </definedNames>
  <calcPr fullCalcOnLoad="1"/>
</workbook>
</file>

<file path=xl/sharedStrings.xml><?xml version="1.0" encoding="utf-8"?>
<sst xmlns="http://schemas.openxmlformats.org/spreadsheetml/2006/main" count="7639" uniqueCount="2701">
  <si>
    <t>Disarm Mechanical Trap</t>
  </si>
  <si>
    <t>Engaging Banter</t>
  </si>
  <si>
    <t>Gliding Stride</t>
  </si>
  <si>
    <t>Temper Self</t>
  </si>
  <si>
    <t>Lip Reading</t>
  </si>
  <si>
    <t>Stopping Aim</t>
  </si>
  <si>
    <t>Incite Stampede</t>
  </si>
  <si>
    <t>Wheeling Defense</t>
  </si>
  <si>
    <t>Spirit Hold</t>
  </si>
  <si>
    <t>Winning Smile</t>
  </si>
  <si>
    <t>Detect Trap</t>
  </si>
  <si>
    <t>Warp Missile</t>
  </si>
  <si>
    <t>6th</t>
  </si>
  <si>
    <t>Bank Shot</t>
  </si>
  <si>
    <t>Endure Cold</t>
  </si>
  <si>
    <t>Temperature</t>
  </si>
  <si>
    <t>Enhanced Matrix A</t>
  </si>
  <si>
    <t>Momentum Attack</t>
  </si>
  <si>
    <t>Disarm</t>
  </si>
  <si>
    <t>Life Check</t>
  </si>
  <si>
    <t>Conceal Weapon</t>
  </si>
  <si>
    <t>Lizard Leap</t>
  </si>
  <si>
    <t>Durability (Mount)</t>
  </si>
  <si>
    <t>Unshakable Earth</t>
  </si>
  <si>
    <t>Fast Hand</t>
  </si>
  <si>
    <t>Spirit Talk</t>
  </si>
  <si>
    <t>Steely Stare</t>
  </si>
  <si>
    <t>Spot Armor Flaw</t>
  </si>
  <si>
    <t>7th</t>
  </si>
  <si>
    <t>Claw Frenzy</t>
  </si>
  <si>
    <t>Lasting Impression</t>
  </si>
  <si>
    <t>Lifesight</t>
  </si>
  <si>
    <t>Incite Mob</t>
  </si>
  <si>
    <t>Earth Skin</t>
  </si>
  <si>
    <t>Hold Thread</t>
  </si>
  <si>
    <t>Call Arrow</t>
  </si>
  <si>
    <t>Sense Poison</t>
  </si>
  <si>
    <t>Reshape Object</t>
  </si>
  <si>
    <t>Enhanced Matrix B</t>
  </si>
  <si>
    <t>Spirit Dodge</t>
  </si>
  <si>
    <t>Second Attack</t>
  </si>
  <si>
    <t>Temper Other</t>
  </si>
  <si>
    <t>8th</t>
  </si>
  <si>
    <t>Called Shot</t>
  </si>
  <si>
    <t>Lion Heart</t>
  </si>
  <si>
    <t>Fearsome Charge</t>
  </si>
  <si>
    <t>Crushing Blow</t>
  </si>
  <si>
    <t>Graceful Exit</t>
  </si>
  <si>
    <t>Cobra Strike</t>
  </si>
  <si>
    <t>Improve Blade</t>
  </si>
  <si>
    <t>Eagle Eye</t>
  </si>
  <si>
    <t>Poison Resistance</t>
  </si>
  <si>
    <t>Mount Attack</t>
  </si>
  <si>
    <t>Safe Path</t>
  </si>
  <si>
    <t>True Sight</t>
  </si>
  <si>
    <t>Orbiting Spy</t>
  </si>
  <si>
    <t>Hypnotize</t>
  </si>
  <si>
    <t>Spirit Strike</t>
  </si>
  <si>
    <t>Metal Ward</t>
  </si>
  <si>
    <t>9th</t>
  </si>
  <si>
    <t>Impressive Shot</t>
  </si>
  <si>
    <t>Call Mount</t>
  </si>
  <si>
    <t>Armored Matrix A</t>
  </si>
  <si>
    <t>Critical Hit</t>
  </si>
  <si>
    <t>Gold Sense</t>
  </si>
  <si>
    <t>Bardic Voice</t>
  </si>
  <si>
    <t>Bestial Toughness</t>
  </si>
  <si>
    <t>Detect Falsehood</t>
  </si>
  <si>
    <t>Blade Juggle</t>
  </si>
  <si>
    <t>Missile Twister</t>
  </si>
  <si>
    <t>Sense Magic Weapon</t>
  </si>
  <si>
    <t>Matrix Strike</t>
  </si>
  <si>
    <t>Trace Missile</t>
  </si>
  <si>
    <t>Howl</t>
  </si>
  <si>
    <t>Rally</t>
  </si>
  <si>
    <t>Water Dancing</t>
  </si>
  <si>
    <t>Memorize Image</t>
  </si>
  <si>
    <t>Astral Pocket</t>
  </si>
  <si>
    <t>Thunder Axe</t>
  </si>
  <si>
    <t>Pin</t>
  </si>
  <si>
    <t>Show Armor Flaw</t>
  </si>
  <si>
    <t>Range Pattern</t>
  </si>
  <si>
    <t>10th</t>
  </si>
  <si>
    <t>Dominate Arrow</t>
  </si>
  <si>
    <t>Animal Leadership</t>
  </si>
  <si>
    <t>Armor Mount</t>
  </si>
  <si>
    <t>Animate Object</t>
  </si>
  <si>
    <t>Summon</t>
  </si>
  <si>
    <t>Disarm Magical Trap</t>
  </si>
  <si>
    <t>Multi-Tongue</t>
  </si>
  <si>
    <t>Body Blade</t>
  </si>
  <si>
    <t>Rushing Attack</t>
  </si>
  <si>
    <t>Lion Spirit</t>
  </si>
  <si>
    <t>Champion Challenge</t>
  </si>
  <si>
    <t>Plant Shelter</t>
  </si>
  <si>
    <t>Safe Thought</t>
  </si>
  <si>
    <t>Summoning Circle</t>
  </si>
  <si>
    <t>Shield Beater</t>
  </si>
  <si>
    <t>Whirlwind</t>
  </si>
  <si>
    <t>Slough Blame</t>
  </si>
  <si>
    <t>11th</t>
  </si>
  <si>
    <t>Blind Fire</t>
  </si>
  <si>
    <t>Develop Animal Sense</t>
  </si>
  <si>
    <t>Armored Matrix B</t>
  </si>
  <si>
    <t>Quickblade</t>
  </si>
  <si>
    <t>Forge Armor</t>
  </si>
  <si>
    <t>Quick Shot</t>
  </si>
  <si>
    <t>Tame Mount</t>
  </si>
  <si>
    <t>Thoughtful Expression</t>
  </si>
  <si>
    <t>Bargain With Summoned Creature</t>
  </si>
  <si>
    <t>Weapon Breaker</t>
  </si>
  <si>
    <t>Song of Deflection</t>
  </si>
  <si>
    <t>Vitality</t>
  </si>
  <si>
    <t>Casting Pattern</t>
  </si>
  <si>
    <t>12th</t>
  </si>
  <si>
    <t>Create Arrow</t>
  </si>
  <si>
    <t>Bestial Resilience</t>
  </si>
  <si>
    <t>Frighten Animal Servants</t>
  </si>
  <si>
    <t>Thought Link</t>
  </si>
  <si>
    <t>Chameleon</t>
  </si>
  <si>
    <t>Soften Blade</t>
  </si>
  <si>
    <t>Armored Matrix C</t>
  </si>
  <si>
    <t>Netherwalk</t>
  </si>
  <si>
    <t>Truth Skit</t>
  </si>
  <si>
    <t>Unmount</t>
  </si>
  <si>
    <t>Enhanced Matrix</t>
  </si>
  <si>
    <t>Wound Transfer</t>
  </si>
  <si>
    <t>13th</t>
  </si>
  <si>
    <t>Share Matrix A</t>
  </si>
  <si>
    <t>Blood Guilt Weapon</t>
  </si>
  <si>
    <t>Screaming Arrow</t>
  </si>
  <si>
    <t>Moving Earth</t>
  </si>
  <si>
    <t>Spell Crystal Lock</t>
  </si>
  <si>
    <t>Detect Influence</t>
  </si>
  <si>
    <t>Stone Skin</t>
  </si>
  <si>
    <t>Improve Armor</t>
  </si>
  <si>
    <t>14th</t>
  </si>
  <si>
    <t>Multi-Shot</t>
  </si>
  <si>
    <t>Echo Locate</t>
  </si>
  <si>
    <t>Earth Matrix</t>
  </si>
  <si>
    <t>Ethereal Weapon</t>
  </si>
  <si>
    <t>Multi-Strike</t>
  </si>
  <si>
    <t>Armored Matrix</t>
  </si>
  <si>
    <t>Trample</t>
  </si>
  <si>
    <t>Share Matrix B</t>
  </si>
  <si>
    <t>Fasthand</t>
  </si>
  <si>
    <t>Vital Strike</t>
  </si>
  <si>
    <t>First Ring of Perfection</t>
  </si>
  <si>
    <t>15th</t>
  </si>
  <si>
    <t>Etheral Weapon</t>
  </si>
  <si>
    <t>Venom</t>
  </si>
  <si>
    <t>Multi-Charge</t>
  </si>
  <si>
    <t>Second Chance</t>
  </si>
  <si>
    <t>Share Matrix C</t>
  </si>
  <si>
    <t>Gain Surprise</t>
  </si>
  <si>
    <t>Aura Armor</t>
  </si>
  <si>
    <t>Effect Pattern</t>
  </si>
  <si>
    <t>Wind Bow</t>
  </si>
  <si>
    <t>Web Astral</t>
  </si>
  <si>
    <t>Soul Shatter</t>
  </si>
  <si>
    <t>Confront Horror</t>
  </si>
  <si>
    <t>Share Matrix</t>
  </si>
  <si>
    <t>Karma</t>
  </si>
  <si>
    <t>Air Tracking</t>
  </si>
  <si>
    <t>Dive Attack</t>
  </si>
  <si>
    <t>Earth Armor</t>
  </si>
  <si>
    <t>Karma Ritual</t>
  </si>
  <si>
    <t>Scent Identifier</t>
  </si>
  <si>
    <t>Spell Matrix</t>
  </si>
  <si>
    <t>Thread Weaving</t>
  </si>
  <si>
    <t>Versatility</t>
  </si>
  <si>
    <t>Wind Dance</t>
  </si>
  <si>
    <t>Weaving</t>
  </si>
  <si>
    <t>Crunch Climb</t>
  </si>
  <si>
    <t>Touch</t>
  </si>
  <si>
    <t>+3 Steps to Climbing</t>
  </si>
  <si>
    <t>6/14</t>
  </si>
  <si>
    <t>Assuring Touch</t>
  </si>
  <si>
    <t>None</t>
  </si>
  <si>
    <t>+3 Steps Against Fear</t>
  </si>
  <si>
    <t>NA/7</t>
  </si>
  <si>
    <t>Bone Dance</t>
  </si>
  <si>
    <t>25 yds</t>
  </si>
  <si>
    <t>7/15</t>
  </si>
  <si>
    <t>Astral Sense</t>
  </si>
  <si>
    <t>60 yds</t>
  </si>
  <si>
    <t>5/15</t>
  </si>
  <si>
    <t>Earth Blend</t>
  </si>
  <si>
    <t>Best Face</t>
  </si>
  <si>
    <t>5/14</t>
  </si>
  <si>
    <t>Chilling Circle</t>
  </si>
  <si>
    <t>Step 4 Damage</t>
  </si>
  <si>
    <t>6/15</t>
  </si>
  <si>
    <t>Crushing Will</t>
  </si>
  <si>
    <t>120 yds</t>
  </si>
  <si>
    <t>8/16</t>
  </si>
  <si>
    <t>Earth Darts</t>
  </si>
  <si>
    <t>30 yds</t>
  </si>
  <si>
    <t>5/12</t>
  </si>
  <si>
    <t>Disguise Metal</t>
  </si>
  <si>
    <t>Changes Look of Metal</t>
  </si>
  <si>
    <t>7/14</t>
  </si>
  <si>
    <t>Command Nightflyer</t>
  </si>
  <si>
    <t>5/13</t>
  </si>
  <si>
    <t>Flameweapon</t>
  </si>
  <si>
    <t>10 yds</t>
  </si>
  <si>
    <t>Displace Image</t>
  </si>
  <si>
    <t>Project Image 3 yds Away</t>
  </si>
  <si>
    <t>Detect Undead</t>
  </si>
  <si>
    <t>Divine Aura</t>
  </si>
  <si>
    <t>Heat Food</t>
  </si>
  <si>
    <t>Heat Rejuvenating Food</t>
  </si>
  <si>
    <t>5/7</t>
  </si>
  <si>
    <t>Light</t>
  </si>
  <si>
    <t>Summons Light</t>
  </si>
  <si>
    <t>Dry and Wet</t>
  </si>
  <si>
    <t>15 yds</t>
  </si>
  <si>
    <t>7/8</t>
  </si>
  <si>
    <t>Flame Flash</t>
  </si>
  <si>
    <t>Plant Talk</t>
  </si>
  <si>
    <t>Self</t>
  </si>
  <si>
    <t>Converse With Plants</t>
  </si>
  <si>
    <t>Pauper's Purse</t>
  </si>
  <si>
    <t>Experience Death</t>
  </si>
  <si>
    <t>20 yds</t>
  </si>
  <si>
    <t>6/12</t>
  </si>
  <si>
    <t>5 yds</t>
  </si>
  <si>
    <t>Ignite Flammable Objects</t>
  </si>
  <si>
    <t>NA/11</t>
  </si>
  <si>
    <t>Purify Water</t>
  </si>
  <si>
    <t>Rope Guide</t>
  </si>
  <si>
    <t>Insect Repellent</t>
  </si>
  <si>
    <t>6/7</t>
  </si>
  <si>
    <t>Iron Hand</t>
  </si>
  <si>
    <t>+3 Steps to Melee Damage</t>
  </si>
  <si>
    <t>Resist Cold</t>
  </si>
  <si>
    <t>+3 Armor vs. Cold</t>
  </si>
  <si>
    <t>Unseen Voices</t>
  </si>
  <si>
    <t>40 yds</t>
  </si>
  <si>
    <t>Creates Rank Voices</t>
  </si>
  <si>
    <t>Putrefy</t>
  </si>
  <si>
    <t>Putrifies Food</t>
  </si>
  <si>
    <t>NA/9</t>
  </si>
  <si>
    <t>Mind Dagger</t>
  </si>
  <si>
    <t>Resist Fire</t>
  </si>
  <si>
    <t>+3 Armor vs. Fire</t>
  </si>
  <si>
    <t>Crafty Thought</t>
  </si>
  <si>
    <t>2 yds</t>
  </si>
  <si>
    <t>Spirit Grip</t>
  </si>
  <si>
    <t>Wall Walker</t>
  </si>
  <si>
    <t>Boil Water</t>
  </si>
  <si>
    <t>Boils 1 Quart of Water</t>
  </si>
  <si>
    <t>7/13</t>
  </si>
  <si>
    <t>Ephemeral Bolt</t>
  </si>
  <si>
    <t>Undead Struggle</t>
  </si>
  <si>
    <t>-4 Social Defense</t>
  </si>
  <si>
    <t>7/16</t>
  </si>
  <si>
    <t>Gills</t>
  </si>
  <si>
    <t>Water Breathing</t>
  </si>
  <si>
    <t>4/13</t>
  </si>
  <si>
    <t>Innocent Activity</t>
  </si>
  <si>
    <t>Covers True Activity</t>
  </si>
  <si>
    <t>Bone Circle</t>
  </si>
  <si>
    <t>6/17</t>
  </si>
  <si>
    <t>Astral Shield</t>
  </si>
  <si>
    <t xml:space="preserve"> Touch</t>
  </si>
  <si>
    <t>+3 to Spell Defense</t>
  </si>
  <si>
    <t>Ice Spear</t>
  </si>
  <si>
    <t>Monstrous Mantle</t>
  </si>
  <si>
    <t>Increase Combat Skill</t>
  </si>
  <si>
    <t>8/13</t>
  </si>
  <si>
    <t>Ethereal Darkness</t>
  </si>
  <si>
    <t>Darkness, SD=12</t>
  </si>
  <si>
    <t>Clean</t>
  </si>
  <si>
    <t>Icy Surface</t>
  </si>
  <si>
    <t>Create Icy Surface</t>
  </si>
  <si>
    <t>NA/8</t>
  </si>
  <si>
    <t>Fog Ghost</t>
  </si>
  <si>
    <t>Summons Fog Ghost</t>
  </si>
  <si>
    <t>Dodge Boost</t>
  </si>
  <si>
    <t>+3 Step to Avoid Blow</t>
  </si>
  <si>
    <t>Path Home</t>
  </si>
  <si>
    <t>Shows Path Home</t>
  </si>
  <si>
    <t>True Ephemeral Bolt</t>
  </si>
  <si>
    <t>Life Circle of One</t>
  </si>
  <si>
    <t>Rope Ladder</t>
  </si>
  <si>
    <t>50 yds</t>
  </si>
  <si>
    <t>Create Ladder From Rope</t>
  </si>
  <si>
    <t>Slow Metal Weapon</t>
  </si>
  <si>
    <t>-3 Steps to Damage</t>
  </si>
  <si>
    <t>9/13</t>
  </si>
  <si>
    <t>Weather Cloak</t>
  </si>
  <si>
    <t>6/9</t>
  </si>
  <si>
    <t>Pocket Guardian</t>
  </si>
  <si>
    <t>Summons Guardion</t>
  </si>
  <si>
    <t>Vines</t>
  </si>
  <si>
    <t>50yds</t>
  </si>
  <si>
    <t>Sterilize Object</t>
  </si>
  <si>
    <t>Alarm</t>
  </si>
  <si>
    <t>8/17</t>
  </si>
  <si>
    <t>Repel Animal</t>
  </si>
  <si>
    <t>Wake-Up Call</t>
  </si>
  <si>
    <t>Set Alarm For Specific Time</t>
  </si>
  <si>
    <t>Stick Together</t>
  </si>
  <si>
    <t>-4 to Tagets Kamra Dice</t>
  </si>
  <si>
    <t>Shield Mist</t>
  </si>
  <si>
    <t>Combat Fury</t>
  </si>
  <si>
    <t>+4 StepsTo Attack/Damage</t>
  </si>
  <si>
    <t>9/16</t>
  </si>
  <si>
    <t>Behind Eye</t>
  </si>
  <si>
    <t>Step 4 Perception to Rear</t>
  </si>
  <si>
    <t>6/16</t>
  </si>
  <si>
    <t>False Floor</t>
  </si>
  <si>
    <t>7/17</t>
  </si>
  <si>
    <t>Death's Head</t>
  </si>
  <si>
    <t>Leaps and Bounds</t>
  </si>
  <si>
    <t>Ice Mace and Chain</t>
  </si>
  <si>
    <t>NA/15</t>
  </si>
  <si>
    <t>Impossible Lock</t>
  </si>
  <si>
    <t>+6 to Sensing Difficulty</t>
  </si>
  <si>
    <t>Fog of Fear</t>
  </si>
  <si>
    <t>8/18</t>
  </si>
  <si>
    <t>Levitate</t>
  </si>
  <si>
    <t>100 yds</t>
  </si>
  <si>
    <t>Plant Feast</t>
  </si>
  <si>
    <t>Mind Fog</t>
  </si>
  <si>
    <t>8/15</t>
  </si>
  <si>
    <t>Grave Message</t>
  </si>
  <si>
    <t>100 miles</t>
  </si>
  <si>
    <t>Sends Message</t>
  </si>
  <si>
    <t>7/19</t>
  </si>
  <si>
    <t>Notice Not</t>
  </si>
  <si>
    <t>+3 to Stealth Actions</t>
  </si>
  <si>
    <t>Porter</t>
  </si>
  <si>
    <t>9/15</t>
  </si>
  <si>
    <t>Nobody Here</t>
  </si>
  <si>
    <t>10/18</t>
  </si>
  <si>
    <t>Pack Bags</t>
  </si>
  <si>
    <t>7/11</t>
  </si>
  <si>
    <t>Quicken Pace</t>
  </si>
  <si>
    <t>10/13</t>
  </si>
  <si>
    <t>Puddle Deep</t>
  </si>
  <si>
    <t xml:space="preserve"> 120 yds</t>
  </si>
  <si>
    <t>7/18</t>
  </si>
  <si>
    <t>Pain</t>
  </si>
  <si>
    <t>Step 4 Dmg, No Action</t>
  </si>
  <si>
    <t>Seeking Sight</t>
  </si>
  <si>
    <t>+3 Steps to Missile Attack</t>
  </si>
  <si>
    <t>Repair</t>
  </si>
  <si>
    <t>Circle of Well Being</t>
  </si>
  <si>
    <t>Spirit Double</t>
  </si>
  <si>
    <t>Creates Spirit Double</t>
  </si>
  <si>
    <t>11/19</t>
  </si>
  <si>
    <t>Shatter Lock</t>
  </si>
  <si>
    <t>Sky Lattice</t>
  </si>
  <si>
    <t>Clarion Call</t>
  </si>
  <si>
    <t>Animate Skeleton</t>
  </si>
  <si>
    <t>Animates Skeletons</t>
  </si>
  <si>
    <t>Ball of String</t>
  </si>
  <si>
    <t>Varies</t>
  </si>
  <si>
    <t>10/15</t>
  </si>
  <si>
    <t>Throne of Air</t>
  </si>
  <si>
    <t>Eyes Have It</t>
  </si>
  <si>
    <t>Astral Flare</t>
  </si>
  <si>
    <t>25yds</t>
  </si>
  <si>
    <t>Dust Devil</t>
  </si>
  <si>
    <t>80 yds</t>
  </si>
  <si>
    <t>-2 Steps to Senses</t>
  </si>
  <si>
    <t>Air Blast</t>
  </si>
  <si>
    <t>10/16</t>
  </si>
  <si>
    <t>Improved Alarm</t>
  </si>
  <si>
    <t>8/19</t>
  </si>
  <si>
    <t>Evil Eye</t>
  </si>
  <si>
    <t>-5 Steps to All Tests</t>
  </si>
  <si>
    <t>Inventory</t>
  </si>
  <si>
    <t>9/18</t>
  </si>
  <si>
    <t>Blizzard Sphere</t>
  </si>
  <si>
    <t>10/17</t>
  </si>
  <si>
    <t>Multi-Missile</t>
  </si>
  <si>
    <t>+4 Missiles</t>
  </si>
  <si>
    <t>Fatal Food</t>
  </si>
  <si>
    <t>9/17</t>
  </si>
  <si>
    <t>Relax</t>
  </si>
  <si>
    <t>Lighten Load</t>
  </si>
  <si>
    <t>Stop Right There</t>
  </si>
  <si>
    <t>Spirit Servant</t>
  </si>
  <si>
    <t>Summons Spirit Servant</t>
  </si>
  <si>
    <t>8/20</t>
  </si>
  <si>
    <t>Thorny Retreat</t>
  </si>
  <si>
    <t>11/13</t>
  </si>
  <si>
    <t>Lightning Shield</t>
  </si>
  <si>
    <t>NA/16</t>
  </si>
  <si>
    <t>Flying Carpet</t>
  </si>
  <si>
    <t>Viewpoint</t>
  </si>
  <si>
    <t>Trust</t>
  </si>
  <si>
    <t>13/17</t>
  </si>
  <si>
    <t>Suffocating Paste</t>
  </si>
  <si>
    <t>Improve Karma</t>
  </si>
  <si>
    <t>+5 Steps to Karma Dice</t>
  </si>
  <si>
    <t>Visions of Death</t>
  </si>
  <si>
    <t>Immobilizes Target in Fear</t>
  </si>
  <si>
    <t>Counterspell</t>
  </si>
  <si>
    <t>Uneven Ground</t>
  </si>
  <si>
    <t>Penalize Enemy Actions</t>
  </si>
  <si>
    <t>11/18</t>
  </si>
  <si>
    <t>Noble Manner</t>
  </si>
  <si>
    <t>+5 Charisma Steps</t>
  </si>
  <si>
    <t>NA/10</t>
  </si>
  <si>
    <t>Animate Spirit Object</t>
  </si>
  <si>
    <t>10/19</t>
  </si>
  <si>
    <t>Invigorate</t>
  </si>
  <si>
    <t>+5 Steps to Recovery</t>
  </si>
  <si>
    <t>Weapon Back</t>
  </si>
  <si>
    <t>5/16</t>
  </si>
  <si>
    <t>Pleasant Visions</t>
  </si>
  <si>
    <t>Visions Prevent Action</t>
  </si>
  <si>
    <t>Astral Horror</t>
  </si>
  <si>
    <t>9/19</t>
  </si>
  <si>
    <t>Mage Armor</t>
  </si>
  <si>
    <t>+4 Physical Defense</t>
  </si>
  <si>
    <t>12/16</t>
  </si>
  <si>
    <t>Earth Staff</t>
  </si>
  <si>
    <t>Wall of Unfire</t>
  </si>
  <si>
    <t>Circle of Astral Protection</t>
  </si>
  <si>
    <t>Makeshift Missile</t>
  </si>
  <si>
    <t>Fireball</t>
  </si>
  <si>
    <t>12/20</t>
  </si>
  <si>
    <t>Bouncing Blaster</t>
  </si>
  <si>
    <t>9/20</t>
  </si>
  <si>
    <t>Pass Ward</t>
  </si>
  <si>
    <t>5 (6,7)</t>
  </si>
  <si>
    <t>13/21</t>
  </si>
  <si>
    <t>Slow</t>
  </si>
  <si>
    <t>Metal Scream</t>
  </si>
  <si>
    <t>11/17</t>
  </si>
  <si>
    <t>Chosen Path</t>
  </si>
  <si>
    <t>Target Portal</t>
  </si>
  <si>
    <t>1000 yds</t>
  </si>
  <si>
    <t>Solo Flight</t>
  </si>
  <si>
    <t>Metal Wings</t>
  </si>
  <si>
    <t>Flight, +5 Steps Lifting</t>
  </si>
  <si>
    <t>Dancing Disks</t>
  </si>
  <si>
    <t>75 yds</t>
  </si>
  <si>
    <t>Wither Limb</t>
  </si>
  <si>
    <t>Displace Self</t>
  </si>
  <si>
    <t>Stone Cage</t>
  </si>
  <si>
    <t>Illusory Missiles</t>
  </si>
  <si>
    <t>12/15</t>
  </si>
  <si>
    <t>Blessed Light</t>
  </si>
  <si>
    <t>Doom Missile</t>
  </si>
  <si>
    <t>10/21</t>
  </si>
  <si>
    <t>Drastic Temperature</t>
  </si>
  <si>
    <t>Spotlight</t>
  </si>
  <si>
    <t>11/20</t>
  </si>
  <si>
    <t>Bone Shatter</t>
  </si>
  <si>
    <t>Karma Cancel</t>
  </si>
  <si>
    <t>Prevents Karma Use</t>
  </si>
  <si>
    <t>Ease Passage</t>
  </si>
  <si>
    <t>False Enchantment</t>
  </si>
  <si>
    <t>Foul Vapors</t>
  </si>
  <si>
    <t>Makeshift Weapon</t>
  </si>
  <si>
    <t>Flameshaw</t>
  </si>
  <si>
    <t>Rebel Limb</t>
  </si>
  <si>
    <t>16/18</t>
  </si>
  <si>
    <t>Friendly Darkness</t>
  </si>
  <si>
    <t>+4 Steps to Rank</t>
  </si>
  <si>
    <t>Razor Orb</t>
  </si>
  <si>
    <t>Ricochet Attack</t>
  </si>
  <si>
    <t>12/19</t>
  </si>
  <si>
    <t>Twisted Tongues</t>
  </si>
  <si>
    <t>Jumbles Speech</t>
  </si>
  <si>
    <t>14/18</t>
  </si>
  <si>
    <t>Sleep</t>
  </si>
  <si>
    <t>Puts Rank Character Asleep</t>
  </si>
  <si>
    <t>Tossing Earth</t>
  </si>
  <si>
    <t>Vertigo</t>
  </si>
  <si>
    <t>Soul Armor</t>
  </si>
  <si>
    <t>Blood Boil</t>
  </si>
  <si>
    <t>12/17</t>
  </si>
  <si>
    <t>Calm Water</t>
  </si>
  <si>
    <t>500 yds</t>
  </si>
  <si>
    <t>Walk Through</t>
  </si>
  <si>
    <t>Creates Temp. Pathway</t>
  </si>
  <si>
    <t>Constrict Heart</t>
  </si>
  <si>
    <t>NA/18</t>
  </si>
  <si>
    <t>Confusing Weave</t>
  </si>
  <si>
    <t>13/20</t>
  </si>
  <si>
    <t>Cloud Summon</t>
  </si>
  <si>
    <t>1 Mile</t>
  </si>
  <si>
    <t>Astral Nightmare</t>
  </si>
  <si>
    <t>12/21</t>
  </si>
  <si>
    <t>Restrain Entity</t>
  </si>
  <si>
    <t>14/20</t>
  </si>
  <si>
    <t>Lightning Cloud</t>
  </si>
  <si>
    <t>12/18</t>
  </si>
  <si>
    <t>Death Rain</t>
  </si>
  <si>
    <t>15/18</t>
  </si>
  <si>
    <t>Form Exchange</t>
  </si>
  <si>
    <t>11/21</t>
  </si>
  <si>
    <t>Reverse Withering</t>
  </si>
  <si>
    <t>Move On Through</t>
  </si>
  <si>
    <t>NA/17</t>
  </si>
  <si>
    <t>Leaping Lizards</t>
  </si>
  <si>
    <t>150 yds</t>
  </si>
  <si>
    <t>9/21</t>
  </si>
  <si>
    <t>Spirit Portal</t>
  </si>
  <si>
    <t>14/19</t>
  </si>
  <si>
    <t>Spell Cage</t>
  </si>
  <si>
    <t>-5 to Spell Casting test</t>
  </si>
  <si>
    <t>Massive Missile</t>
  </si>
  <si>
    <t xml:space="preserve"> 250 yds</t>
  </si>
  <si>
    <t>Cat's Cradle</t>
  </si>
  <si>
    <t>Shared Spellcasting</t>
  </si>
  <si>
    <t>Blade Fury</t>
  </si>
  <si>
    <t>Other Place</t>
  </si>
  <si>
    <t>1 mile</t>
  </si>
  <si>
    <t>Links Two Doorways</t>
  </si>
  <si>
    <t>Control Being</t>
  </si>
  <si>
    <t>Compression Bubble</t>
  </si>
  <si>
    <t>15/22</t>
  </si>
  <si>
    <t>Earth Wall</t>
  </si>
  <si>
    <t>Grim Reaper</t>
  </si>
  <si>
    <t>Horror Call</t>
  </si>
  <si>
    <t>13/22</t>
  </si>
  <si>
    <t>Delay Blow</t>
  </si>
  <si>
    <t>Perimeter Alarm</t>
  </si>
  <si>
    <t>Rank yds</t>
  </si>
  <si>
    <t>10/20</t>
  </si>
  <si>
    <t>One of the Crowd</t>
  </si>
  <si>
    <t>14/21</t>
  </si>
  <si>
    <t>Restrain Horror</t>
  </si>
  <si>
    <t>13/19</t>
  </si>
  <si>
    <t>Safe Opening</t>
  </si>
  <si>
    <t>Silence Metal</t>
  </si>
  <si>
    <t>Revulsion</t>
  </si>
  <si>
    <t>15/21</t>
  </si>
  <si>
    <t>Shadow Tether</t>
  </si>
  <si>
    <t>16/19</t>
  </si>
  <si>
    <t>Wound Mask</t>
  </si>
  <si>
    <t>13/15</t>
  </si>
  <si>
    <t>Silver Shadow</t>
  </si>
  <si>
    <t>Shift Walls</t>
  </si>
  <si>
    <t>Translator Spirit</t>
  </si>
  <si>
    <t>Absorbing Sphere</t>
  </si>
  <si>
    <t>Cloud Banish</t>
  </si>
  <si>
    <t>15/20</t>
  </si>
  <si>
    <t>Thundering Walls</t>
  </si>
  <si>
    <t>57 yds</t>
  </si>
  <si>
    <t>Create Life</t>
  </si>
  <si>
    <t>Creates Life Form</t>
  </si>
  <si>
    <t>21/26</t>
  </si>
  <si>
    <t>Draining Eye</t>
  </si>
  <si>
    <t>14/15</t>
  </si>
  <si>
    <t>Dragon's Breath</t>
  </si>
  <si>
    <t>Afterlife</t>
  </si>
  <si>
    <t>16/21</t>
  </si>
  <si>
    <t>Dark Sword</t>
  </si>
  <si>
    <t>15/19</t>
  </si>
  <si>
    <t>Observe Event</t>
  </si>
  <si>
    <t>Fire Wall</t>
  </si>
  <si>
    <t>Astral Materialization</t>
  </si>
  <si>
    <t>15/2</t>
  </si>
  <si>
    <t>Shift Skin</t>
  </si>
  <si>
    <t>17/18</t>
  </si>
  <si>
    <t>Reattach Limb</t>
  </si>
  <si>
    <t>Storm Manacles</t>
  </si>
  <si>
    <t>Below here are calculations only</t>
  </si>
  <si>
    <t>Text</t>
  </si>
  <si>
    <t>Comma</t>
  </si>
  <si>
    <t>Org</t>
  </si>
  <si>
    <t>Items:</t>
  </si>
  <si>
    <t>15/15</t>
  </si>
  <si>
    <t>Moon Shadow</t>
  </si>
  <si>
    <t>16/22</t>
  </si>
  <si>
    <t>Eclipse</t>
  </si>
  <si>
    <t>NA</t>
  </si>
  <si>
    <t>Talent Shredder</t>
  </si>
  <si>
    <t>17/19</t>
  </si>
  <si>
    <t>Tell Tale</t>
  </si>
  <si>
    <t>Gain Answer From Object</t>
  </si>
  <si>
    <t>Water Wall</t>
  </si>
  <si>
    <t>Eternal Day</t>
  </si>
  <si>
    <t>18/21</t>
  </si>
  <si>
    <t>Walking Dead</t>
  </si>
  <si>
    <t>Death Vow</t>
  </si>
  <si>
    <t>Air Fortress</t>
  </si>
  <si>
    <t>17/23</t>
  </si>
  <si>
    <t>Haunted House</t>
  </si>
  <si>
    <t>Damage Transfer</t>
  </si>
  <si>
    <t>Hold Pattern</t>
  </si>
  <si>
    <t>14/23</t>
  </si>
  <si>
    <t>Earth and Air</t>
  </si>
  <si>
    <t>16/20</t>
  </si>
  <si>
    <t>Fragile Pattern</t>
  </si>
  <si>
    <t>Journey to Life</t>
  </si>
  <si>
    <t>Elemental Merchant</t>
  </si>
  <si>
    <t>Gateway</t>
  </si>
  <si>
    <t>5000 miles</t>
  </si>
  <si>
    <t>Onion Blood</t>
  </si>
  <si>
    <t>Fire and Water</t>
  </si>
  <si>
    <t>17/20</t>
  </si>
  <si>
    <t>Strong Pattern</t>
  </si>
  <si>
    <t>18/23</t>
  </si>
  <si>
    <t>Warp Astral Space</t>
  </si>
  <si>
    <t>-8 to Spellcasting Steps</t>
  </si>
  <si>
    <t>Weather Change</t>
  </si>
  <si>
    <t>10 miles</t>
  </si>
  <si>
    <t>Tap Horror Karma</t>
  </si>
  <si>
    <t>18/20</t>
  </si>
  <si>
    <t>Battle Axe</t>
  </si>
  <si>
    <t>Broadsword</t>
  </si>
  <si>
    <t>Club</t>
  </si>
  <si>
    <t>Dagger</t>
  </si>
  <si>
    <t>Dwarf Sword</t>
  </si>
  <si>
    <t>Flail</t>
  </si>
  <si>
    <t>Hand-Axe</t>
  </si>
  <si>
    <t>Lance</t>
  </si>
  <si>
    <t>Mace</t>
  </si>
  <si>
    <t>Pole Arms</t>
  </si>
  <si>
    <t>Pole-Axe</t>
  </si>
  <si>
    <t>Quarterstaff</t>
  </si>
  <si>
    <t>Sap</t>
  </si>
  <si>
    <t>Short Sword</t>
  </si>
  <si>
    <t>Spear</t>
  </si>
  <si>
    <t>Spiked Mace</t>
  </si>
  <si>
    <t>Trispear</t>
  </si>
  <si>
    <t>Troll Sword</t>
  </si>
  <si>
    <t>Twohanded Sword</t>
  </si>
  <si>
    <t>Warhammer</t>
  </si>
  <si>
    <t>Whip</t>
  </si>
  <si>
    <t>Elven Warbow</t>
  </si>
  <si>
    <t>40/200/300</t>
  </si>
  <si>
    <t>Light Crossbow</t>
  </si>
  <si>
    <t>50/125/200</t>
  </si>
  <si>
    <t>Longbow</t>
  </si>
  <si>
    <t>40/100/220</t>
  </si>
  <si>
    <t>Medium Crossbow</t>
  </si>
  <si>
    <t>50/175/275</t>
  </si>
  <si>
    <t>Short Bow</t>
  </si>
  <si>
    <t>25/80/120</t>
  </si>
  <si>
    <t>Sling</t>
  </si>
  <si>
    <t>15/40/100</t>
  </si>
  <si>
    <t>Troll Sling</t>
  </si>
  <si>
    <t>25/60/100</t>
  </si>
  <si>
    <t>Bola</t>
  </si>
  <si>
    <t>15 / 25 / 35</t>
  </si>
  <si>
    <t>Burning Oil</t>
  </si>
  <si>
    <t>10 / 20 / 30</t>
  </si>
  <si>
    <t>5 / 10 / 15</t>
  </si>
  <si>
    <t>Dart</t>
  </si>
  <si>
    <t>3 / 6 / 9</t>
  </si>
  <si>
    <t>Flight Dagger</t>
  </si>
  <si>
    <t>15 / 40 / 75</t>
  </si>
  <si>
    <t>Hawk Hatchet</t>
  </si>
  <si>
    <t>25/80/125</t>
  </si>
  <si>
    <t>Net</t>
  </si>
  <si>
    <t>Thowing Axe</t>
  </si>
  <si>
    <t>15 / 25 / 40</t>
  </si>
  <si>
    <t>Throwing Dagger</t>
  </si>
  <si>
    <t>Windling Spear</t>
  </si>
  <si>
    <t>Claw Shape (D)</t>
  </si>
  <si>
    <t>Forge Blade (D)</t>
  </si>
  <si>
    <t>Charge (D)</t>
  </si>
  <si>
    <t>Battle Shout (D)</t>
  </si>
  <si>
    <t>Manuever (D)</t>
  </si>
  <si>
    <t>Melee Weapon (D)</t>
  </si>
  <si>
    <t>Unarmed Combat (D)</t>
  </si>
  <si>
    <t>Blood Share (D)</t>
  </si>
  <si>
    <t>Great Leap (D)</t>
  </si>
  <si>
    <t>Lock Sense (D)</t>
  </si>
  <si>
    <t>Haggle (D)</t>
  </si>
  <si>
    <t>Speak Language (D)</t>
  </si>
  <si>
    <t>Flame Arrow (D)</t>
  </si>
  <si>
    <t>Borrow Sense (D)</t>
  </si>
  <si>
    <t>Dead Fall (D)</t>
  </si>
  <si>
    <t>Abate Curse (D)</t>
  </si>
  <si>
    <t>Book Memory (D)</t>
  </si>
  <si>
    <t>Cat's Paw (D)</t>
  </si>
  <si>
    <t>Elemental Tongues (D)</t>
  </si>
  <si>
    <t>Fence (D)</t>
  </si>
  <si>
    <t>Book Recall (D)</t>
  </si>
  <si>
    <t>Elemental Hold (D)</t>
  </si>
  <si>
    <t>Sure Mount (D)</t>
  </si>
  <si>
    <t>Battle Bellow (D)</t>
  </si>
  <si>
    <t>Second Weapon (D)</t>
  </si>
  <si>
    <t>Temper Self (D)</t>
  </si>
  <si>
    <t>Bank Shot (D)</t>
  </si>
  <si>
    <t>Temperature (D)</t>
  </si>
  <si>
    <t>Momentum Attack (D)</t>
  </si>
  <si>
    <t>Unshakable Earth (D)</t>
  </si>
  <si>
    <t>Steely Stare (D)</t>
  </si>
  <si>
    <t>Spot Armor Flaw (D)</t>
  </si>
  <si>
    <t>Claw Frenzy (D)</t>
  </si>
  <si>
    <t>Detect Trap (D)</t>
  </si>
  <si>
    <t>Hold Thread (D)</t>
  </si>
  <si>
    <t>Call Arrow (D)</t>
  </si>
  <si>
    <t>Reshape Object (D)</t>
  </si>
  <si>
    <t>Second Attack (D)</t>
  </si>
  <si>
    <t>Temper Other (D)</t>
  </si>
  <si>
    <t>Called Shot (D)</t>
  </si>
  <si>
    <t>Fearsome Charge (D)</t>
  </si>
  <si>
    <t>Conceal Weapon (D)</t>
  </si>
  <si>
    <t>Improve Blade (D)</t>
  </si>
  <si>
    <t>Eagle Eye (D)</t>
  </si>
  <si>
    <t>Mount Attack (D)</t>
  </si>
  <si>
    <t>Call Mount (D)</t>
  </si>
  <si>
    <t>Metal Ward (D)</t>
  </si>
  <si>
    <t>Detect Falsehood (D)</t>
  </si>
  <si>
    <t>Blade Juggle (D)</t>
  </si>
  <si>
    <t>Howl (D)</t>
  </si>
  <si>
    <t>Rally (D)</t>
  </si>
  <si>
    <t>Astral Pocket (D)</t>
  </si>
  <si>
    <t>Thunder Axe (D)</t>
  </si>
  <si>
    <t>Show Armor Flaw (D)</t>
  </si>
  <si>
    <t>Range Pattern (D)</t>
  </si>
  <si>
    <t>Summon (D)</t>
  </si>
  <si>
    <t>Body Blade (D)</t>
  </si>
  <si>
    <t>Plant Shelter (D)</t>
  </si>
  <si>
    <t>Safe Thought (D)</t>
  </si>
  <si>
    <t>Slough Blame (D)</t>
  </si>
  <si>
    <t>Forge Armor (D)</t>
  </si>
  <si>
    <t>Tame Mount (D)</t>
  </si>
  <si>
    <t>Create Arrow (D)</t>
  </si>
  <si>
    <t>Chameleon (D)</t>
  </si>
  <si>
    <t>Netherwalk (D)</t>
  </si>
  <si>
    <t>Unmount (D)</t>
  </si>
  <si>
    <t>Spell Crystal Lock (D)</t>
  </si>
  <si>
    <t>Safe Path (D)</t>
  </si>
  <si>
    <t>Detect Influence (D)</t>
  </si>
  <si>
    <t>Improve Armor (D)</t>
  </si>
  <si>
    <t>Echo Locate (D)</t>
  </si>
  <si>
    <t>Trample (D)</t>
  </si>
  <si>
    <t>Venom (D)</t>
  </si>
  <si>
    <t>Aura Armor (D)</t>
  </si>
  <si>
    <t>Effect Pattern (D)</t>
  </si>
  <si>
    <t>Web Astral (D)</t>
  </si>
  <si>
    <t>Soul Shatter (D)</t>
  </si>
  <si>
    <t>/-/1</t>
  </si>
  <si>
    <t>/-/-</t>
  </si>
  <si>
    <t>/-/2</t>
  </si>
  <si>
    <t>ATTRIBUTES</t>
  </si>
  <si>
    <t>Threshold:</t>
  </si>
  <si>
    <t>STEPS AND ACTION DICE</t>
  </si>
  <si>
    <t>Armor:</t>
  </si>
  <si>
    <t>Step:</t>
  </si>
  <si>
    <t>Copper</t>
  </si>
  <si>
    <t>First</t>
  </si>
  <si>
    <t>Second</t>
  </si>
  <si>
    <t>Third</t>
  </si>
  <si>
    <t>Fourth</t>
  </si>
  <si>
    <t>Fifth</t>
  </si>
  <si>
    <t>Sixth</t>
  </si>
  <si>
    <t>Seventh</t>
  </si>
  <si>
    <t>Eigth</t>
  </si>
  <si>
    <t>Ninth</t>
  </si>
  <si>
    <t>Tenth</t>
  </si>
  <si>
    <t>Eleventh</t>
  </si>
  <si>
    <t>Twelfth</t>
  </si>
  <si>
    <t>Thirteenth</t>
  </si>
  <si>
    <t>Fourteenth</t>
  </si>
  <si>
    <t>Fifteenth</t>
  </si>
  <si>
    <t>Show</t>
  </si>
  <si>
    <t>Hi</t>
  </si>
  <si>
    <t>Lo</t>
  </si>
  <si>
    <t>K</t>
  </si>
  <si>
    <t>Dicipline</t>
  </si>
  <si>
    <t>/Action/Strain</t>
  </si>
  <si>
    <t>Plus</t>
  </si>
  <si>
    <t>K/A/S</t>
  </si>
  <si>
    <t>Talents:</t>
  </si>
  <si>
    <t>Armors:</t>
  </si>
  <si>
    <t>Weapons:</t>
  </si>
  <si>
    <t>Count</t>
  </si>
  <si>
    <t>Knockdown:</t>
  </si>
  <si>
    <t>Rune Carving</t>
  </si>
  <si>
    <t>Riding</t>
  </si>
  <si>
    <t>Skills:</t>
  </si>
  <si>
    <t>Knacks:</t>
  </si>
  <si>
    <t>THREADS TO ITEMS</t>
  </si>
  <si>
    <t>PD</t>
  </si>
  <si>
    <t>SD</t>
  </si>
  <si>
    <t>SOD</t>
  </si>
  <si>
    <t>INIT</t>
  </si>
  <si>
    <t>REC</t>
  </si>
  <si>
    <t>IMPROVEMENT</t>
  </si>
  <si>
    <t>Org.</t>
  </si>
  <si>
    <t>Incr.</t>
  </si>
  <si>
    <t>2nd Dicipline</t>
  </si>
  <si>
    <t xml:space="preserve">  Circle</t>
  </si>
  <si>
    <t xml:space="preserve">  Started at</t>
  </si>
  <si>
    <t>Thread</t>
  </si>
  <si>
    <t>Off</t>
  </si>
  <si>
    <t>Hide</t>
  </si>
  <si>
    <t>Name</t>
  </si>
  <si>
    <t>Sex</t>
  </si>
  <si>
    <t>Age</t>
  </si>
  <si>
    <t>Height</t>
  </si>
  <si>
    <t>Hair</t>
  </si>
  <si>
    <t>Eyes</t>
  </si>
  <si>
    <t>MinStr</t>
  </si>
  <si>
    <t>2d20+d10+d8+d4</t>
  </si>
  <si>
    <t>2d20+d10+d8+d6</t>
  </si>
  <si>
    <t>2d20+d10+2d8</t>
  </si>
  <si>
    <t>2d20+2d10+d8</t>
  </si>
  <si>
    <t>2d20+d12+d10+d8</t>
  </si>
  <si>
    <t>2d20+d10+d8+2d6</t>
  </si>
  <si>
    <t>2d20+d10+2d8+d6</t>
  </si>
  <si>
    <t>2d20+2d10+d8+d6</t>
  </si>
  <si>
    <t>2d20+2d10+2d8</t>
  </si>
  <si>
    <t>2d20+3d10+d8</t>
  </si>
  <si>
    <t>Dwarven</t>
  </si>
  <si>
    <t>Elven</t>
  </si>
  <si>
    <t>Unc.</t>
  </si>
  <si>
    <t>Active</t>
  </si>
  <si>
    <t>Total:</t>
  </si>
  <si>
    <t>Phys</t>
  </si>
  <si>
    <t>/A/1</t>
  </si>
  <si>
    <t>/A/-</t>
  </si>
  <si>
    <t>/A/2</t>
  </si>
  <si>
    <t>/A/5</t>
  </si>
  <si>
    <t>/A/4</t>
  </si>
  <si>
    <t>/A/3</t>
  </si>
  <si>
    <t>years</t>
  </si>
  <si>
    <t>lbs</t>
  </si>
  <si>
    <t>Dicipl</t>
  </si>
  <si>
    <t>Num</t>
  </si>
  <si>
    <t>Free</t>
  </si>
  <si>
    <t>Known Elementalist Spells</t>
  </si>
  <si>
    <t>Known Nethernamcer Spells</t>
  </si>
  <si>
    <t>Known Illusionist Spells</t>
  </si>
  <si>
    <t>Known Wizard Spells</t>
  </si>
  <si>
    <t>Physical Def.</t>
  </si>
  <si>
    <t>Boots, Dry</t>
  </si>
  <si>
    <t>Cloak, Dwarf Winternight</t>
  </si>
  <si>
    <t>Created by Jens Clausen, with considerable aid and inspiration from various web-products, especially a similar spreadsheet made by Richard Bax. Additional debugging and data entry by Josh Harrison.</t>
  </si>
  <si>
    <t>Hat, Courtier Quality</t>
  </si>
  <si>
    <t>Hat, Fine Quality</t>
  </si>
  <si>
    <t>Notes, Skills</t>
  </si>
  <si>
    <t>and  Powers</t>
  </si>
  <si>
    <t>Artisan tools for Carving</t>
  </si>
  <si>
    <t>Artisan tools for Sculpting</t>
  </si>
  <si>
    <t>Artisan tools for Painting</t>
  </si>
  <si>
    <t>Artisan tools for Embroidery</t>
  </si>
  <si>
    <t>Rope (10-foot length)</t>
  </si>
  <si>
    <t>Rope (25-foot length)</t>
  </si>
  <si>
    <t>Rope (50-foot length)</t>
  </si>
  <si>
    <t>Resist Poison Potion</t>
  </si>
  <si>
    <t>Last Chance Potion</t>
  </si>
  <si>
    <t>Cure Disease Potion</t>
  </si>
  <si>
    <t>Healing Potion</t>
  </si>
  <si>
    <t>Booster Potion</t>
  </si>
  <si>
    <t>Ill</t>
  </si>
  <si>
    <t>Neth</t>
  </si>
  <si>
    <t>Wiz</t>
  </si>
  <si>
    <t>Elem</t>
  </si>
  <si>
    <t>Elementalist Spells</t>
  </si>
  <si>
    <t>We/Reatt</t>
  </si>
  <si>
    <t>Description</t>
  </si>
  <si>
    <t>W+6</t>
  </si>
  <si>
    <t>W+5</t>
  </si>
  <si>
    <t>W+4</t>
  </si>
  <si>
    <t>W+2</t>
  </si>
  <si>
    <t>W+8</t>
  </si>
  <si>
    <t>W+3</t>
  </si>
  <si>
    <t>W+7</t>
  </si>
  <si>
    <t>W+15</t>
  </si>
  <si>
    <t>W+9</t>
  </si>
  <si>
    <t>W+10</t>
  </si>
  <si>
    <t>W+12</t>
  </si>
  <si>
    <t>W+16</t>
  </si>
  <si>
    <t>W+11</t>
  </si>
  <si>
    <t>W+13</t>
  </si>
  <si>
    <t>W+14</t>
  </si>
  <si>
    <t>W+1</t>
  </si>
  <si>
    <t>W+5 (Special)</t>
  </si>
  <si>
    <t>+d4 Damage</t>
  </si>
  <si>
    <t>S+10</t>
  </si>
  <si>
    <t>C+5</t>
  </si>
  <si>
    <t>+d8 Sensing Difficulty</t>
  </si>
  <si>
    <t>Cancels d10 Action Dice</t>
  </si>
  <si>
    <t>W-1</t>
  </si>
  <si>
    <t>+d8 to Mystic Armor</t>
  </si>
  <si>
    <t>Target's W+5</t>
  </si>
  <si>
    <t>Target's W+7</t>
  </si>
  <si>
    <t>Levitate 2000 lbs</t>
  </si>
  <si>
    <t/>
  </si>
  <si>
    <t>Purifies W+8 Quarts</t>
  </si>
  <si>
    <t>10+R min</t>
  </si>
  <si>
    <t>1 rnd</t>
  </si>
  <si>
    <t>5+R min</t>
  </si>
  <si>
    <t>10+R rnd</t>
  </si>
  <si>
    <t>3+R min</t>
  </si>
  <si>
    <t>7+R rnd</t>
  </si>
  <si>
    <t>1 min</t>
  </si>
  <si>
    <t>5+R rnd</t>
  </si>
  <si>
    <t>R min</t>
  </si>
  <si>
    <t>3+R rnd</t>
  </si>
  <si>
    <t>Skill</t>
  </si>
  <si>
    <t>Windscout</t>
  </si>
  <si>
    <t>Armor Bypass</t>
  </si>
  <si>
    <t>Windmaster</t>
  </si>
  <si>
    <t>Attribute Pattern</t>
  </si>
  <si>
    <t>Body Control</t>
  </si>
  <si>
    <t>Purifier</t>
  </si>
  <si>
    <t>Cast Net</t>
  </si>
  <si>
    <t>Boatman</t>
  </si>
  <si>
    <t>Echo Location</t>
  </si>
  <si>
    <t>Enduring Art</t>
  </si>
  <si>
    <t>Escape Divination</t>
  </si>
  <si>
    <t>Evaluate</t>
  </si>
  <si>
    <t>False Shackles</t>
  </si>
  <si>
    <t>Fast Grab</t>
  </si>
  <si>
    <t>Free Mind</t>
  </si>
  <si>
    <t>Liberator</t>
  </si>
  <si>
    <t>Freedom Search</t>
  </si>
  <si>
    <t>Freedom Song</t>
  </si>
  <si>
    <t>Heal Slave</t>
  </si>
  <si>
    <t>Heart of Freedom</t>
  </si>
  <si>
    <t>Heart of Rebellion</t>
  </si>
  <si>
    <t>Hoard Blows</t>
  </si>
  <si>
    <t>Impossible Hide</t>
  </si>
  <si>
    <t>Insect Communication</t>
  </si>
  <si>
    <t>Leadership</t>
  </si>
  <si>
    <t>Lightbearer</t>
  </si>
  <si>
    <t>Maneuver</t>
  </si>
  <si>
    <t>(3 applications)</t>
  </si>
  <si>
    <t>Healer Kit, refill</t>
  </si>
  <si>
    <t>Quill-pen</t>
  </si>
  <si>
    <t>Tent (two-person)</t>
  </si>
  <si>
    <t>Girdle, Normal</t>
  </si>
  <si>
    <t>Girdle, Broad</t>
  </si>
  <si>
    <t>Blood Knuckles</t>
  </si>
  <si>
    <t>Familiar</t>
  </si>
  <si>
    <t>Garlen Stone</t>
  </si>
  <si>
    <t>Horn Needle</t>
  </si>
  <si>
    <t>Initiative Booster</t>
  </si>
  <si>
    <t>Strength Booster</t>
  </si>
  <si>
    <t>Elemental  Fend (Air)</t>
  </si>
  <si>
    <t>Elemental  Fend (Earth)</t>
  </si>
  <si>
    <t>Elemental  Fend (Fire)</t>
  </si>
  <si>
    <t>Elemental  Fend (Water)</t>
  </si>
  <si>
    <t>Elemental  Fend (Wood)</t>
  </si>
  <si>
    <t>Bedroll of Comfort</t>
  </si>
  <si>
    <t>Cleaning Broom</t>
  </si>
  <si>
    <t>Cloak, Everclean</t>
  </si>
  <si>
    <t>Cloak, Warm</t>
  </si>
  <si>
    <t>Fire Starter</t>
  </si>
  <si>
    <t>Firefly Chalk (stick)</t>
  </si>
  <si>
    <t>Floating Chair</t>
  </si>
  <si>
    <t>Hambrell's Contract</t>
  </si>
  <si>
    <t>Heat Stone</t>
  </si>
  <si>
    <t>Hot Pot</t>
  </si>
  <si>
    <t>Message Stone</t>
  </si>
  <si>
    <t>Message Stone, Warded</t>
  </si>
  <si>
    <t>Pot of Grumbah, Small</t>
  </si>
  <si>
    <t>Pot of Grumbah, Large</t>
  </si>
  <si>
    <t>Quiet Pouch</t>
  </si>
  <si>
    <t>Season Lamp</t>
  </si>
  <si>
    <t>Talisman, Circle Two</t>
  </si>
  <si>
    <t>Talisman, Circle Three</t>
  </si>
  <si>
    <t>Talisman, Circle Four</t>
  </si>
  <si>
    <t>Talisman, Circle Five</t>
  </si>
  <si>
    <t>Talisman, Circle One</t>
  </si>
  <si>
    <t>Traveler's Mug</t>
  </si>
  <si>
    <t>Upandal's Blessing</t>
  </si>
  <si>
    <t>Volus Brooch</t>
  </si>
  <si>
    <t>Wind Instrument</t>
  </si>
  <si>
    <t>Floating Chair, Large</t>
  </si>
  <si>
    <t>Eye, Astral Sensitive</t>
  </si>
  <si>
    <t>Eye, Darksight</t>
  </si>
  <si>
    <t>Eye, Targeting</t>
  </si>
  <si>
    <t>Light Quartz, Small</t>
  </si>
  <si>
    <t>Light Quartz, Medium</t>
  </si>
  <si>
    <t>Light Quartz, Large</t>
  </si>
  <si>
    <t>HEALING AIDS</t>
  </si>
  <si>
    <t>Confidense Pooster</t>
  </si>
  <si>
    <t>Resist Disease Potion</t>
  </si>
  <si>
    <t>Salve of Closure</t>
  </si>
  <si>
    <t>Chain, Light</t>
  </si>
  <si>
    <t>Chain, Heavy</t>
  </si>
  <si>
    <t>Flint and Steel</t>
  </si>
  <si>
    <t>Grappling Hook</t>
  </si>
  <si>
    <t>Forge Tools</t>
  </si>
  <si>
    <t>Map/scroll Case</t>
  </si>
  <si>
    <t>Lantern, Light Quartz</t>
  </si>
  <si>
    <t>Sewing Kit</t>
  </si>
  <si>
    <t>Thieves' Picks and Tools</t>
  </si>
  <si>
    <t>Writing-ink Vial (10 pages)</t>
  </si>
  <si>
    <t>Trail Rations (day)</t>
  </si>
  <si>
    <t>Dwarf Mine Rations (day)</t>
  </si>
  <si>
    <t>Bottle of Wine</t>
  </si>
  <si>
    <t>Bottle of Fine Wine</t>
  </si>
  <si>
    <t>Belt Pouch</t>
  </si>
  <si>
    <t>THREAD OBJECTS</t>
  </si>
  <si>
    <t>Amulet</t>
  </si>
  <si>
    <t>Boots</t>
  </si>
  <si>
    <t>Bracers</t>
  </si>
  <si>
    <t>Brooch</t>
  </si>
  <si>
    <t>Cloak</t>
  </si>
  <si>
    <t>Crystal  Box</t>
  </si>
  <si>
    <t>Forest Robes</t>
  </si>
  <si>
    <t>Gauntlets</t>
  </si>
  <si>
    <t>Lightning-Bolt Earrings</t>
  </si>
  <si>
    <t>Map of Location</t>
  </si>
  <si>
    <t>Naga-Scale Brooch</t>
  </si>
  <si>
    <t>Pouch</t>
  </si>
  <si>
    <t>Ring</t>
  </si>
  <si>
    <t>Ring of Accuracy</t>
  </si>
  <si>
    <t>Spell Matrix Staff</t>
  </si>
  <si>
    <t>Vial</t>
  </si>
  <si>
    <t>Wand</t>
  </si>
  <si>
    <t>Wyvernskin Robes</t>
  </si>
  <si>
    <t>THREAD SHIELDS</t>
  </si>
  <si>
    <t>Crystal Buckler</t>
  </si>
  <si>
    <t>Orichalcium Shield</t>
  </si>
  <si>
    <t>THREAD WEAPONS</t>
  </si>
  <si>
    <t>Crystal Battle-Axe</t>
  </si>
  <si>
    <t>Long Bow</t>
  </si>
  <si>
    <t>Maul  Hammer</t>
  </si>
  <si>
    <t>Pronce Axe</t>
  </si>
  <si>
    <t>Rain Club</t>
  </si>
  <si>
    <t>Crystal Twohanded Sword</t>
  </si>
  <si>
    <t>Elemental Spear</t>
  </si>
  <si>
    <t>Stone Broadsword</t>
  </si>
  <si>
    <t>Stone Dagger</t>
  </si>
  <si>
    <t>Three-Axe</t>
  </si>
  <si>
    <t>Throwing Axe</t>
  </si>
  <si>
    <t>Wrist Carver</t>
  </si>
  <si>
    <t>(single)</t>
  </si>
  <si>
    <t>#Attacks</t>
  </si>
  <si>
    <t>Attack</t>
  </si>
  <si>
    <t>Damage</t>
  </si>
  <si>
    <t>#Spells</t>
  </si>
  <si>
    <t>Knockdown</t>
  </si>
  <si>
    <t>Unc. Rating</t>
  </si>
  <si>
    <t>Death Rating</t>
  </si>
  <si>
    <t>Combat Movement</t>
  </si>
  <si>
    <t>Spell Def</t>
  </si>
  <si>
    <t>Social Def</t>
  </si>
  <si>
    <t>Wound Thr.</t>
  </si>
  <si>
    <t>Unconscious Rating</t>
  </si>
  <si>
    <t>Full Movement</t>
  </si>
  <si>
    <t>Karma Step</t>
  </si>
  <si>
    <t>Wilpower</t>
  </si>
  <si>
    <t>MOUNT/ANIMAL COMPANION</t>
  </si>
  <si>
    <t>Race/Species</t>
  </si>
  <si>
    <t>Phys Def</t>
  </si>
  <si>
    <t>Phys Arm</t>
  </si>
  <si>
    <t>Casting</t>
  </si>
  <si>
    <t>#Att</t>
  </si>
  <si>
    <t>Mys. Arm.</t>
  </si>
  <si>
    <t>Death Rate</t>
  </si>
  <si>
    <t>PERSONALITY TRAITS</t>
  </si>
  <si>
    <t>QUIRKS &amp; QUOTES</t>
  </si>
  <si>
    <t>HISTORY AND BACKGROUND NOTES</t>
  </si>
  <si>
    <t>QUIRKS AND QUOTES</t>
  </si>
  <si>
    <t>PERSONAL INFORMATION</t>
  </si>
  <si>
    <t>NB: Everything can be edited, but be careful when writing in gray or blue cells.</t>
  </si>
  <si>
    <t>Melee Weapons</t>
  </si>
  <si>
    <t>Mind Armor</t>
  </si>
  <si>
    <t>Mind Blade</t>
  </si>
  <si>
    <t>Mind Wave</t>
  </si>
  <si>
    <t>Missile Weapons</t>
  </si>
  <si>
    <t>Morphism</t>
  </si>
  <si>
    <t>Multi-Weaving</t>
  </si>
  <si>
    <t>Pilot Boat</t>
  </si>
  <si>
    <t>Power Mask</t>
  </si>
  <si>
    <t>Prison Call</t>
  </si>
  <si>
    <t>Questor</t>
  </si>
  <si>
    <t>Read &amp; Write Language</t>
  </si>
  <si>
    <t>Read &amp; Write Magic</t>
  </si>
  <si>
    <t>Read River</t>
  </si>
  <si>
    <t>Ritual of Atonement</t>
  </si>
  <si>
    <t>Ritual of the Ghost Master</t>
  </si>
  <si>
    <t>Shackle Shrug</t>
  </si>
  <si>
    <t>Shout of Justice</t>
  </si>
  <si>
    <t>Spot Armour Flaw</t>
  </si>
  <si>
    <t>Swing Attack</t>
  </si>
  <si>
    <t>Talent Pattern</t>
  </si>
  <si>
    <t>Throwing Weapons</t>
  </si>
  <si>
    <t>/A/10</t>
  </si>
  <si>
    <t>/-/3</t>
  </si>
  <si>
    <t>Acrobatics</t>
  </si>
  <si>
    <t>Acting</t>
  </si>
  <si>
    <t>Alchemy &amp; Potions</t>
  </si>
  <si>
    <t>Ancient Weapons</t>
  </si>
  <si>
    <t>Animal Handling</t>
  </si>
  <si>
    <t>Animal Lore</t>
  </si>
  <si>
    <t>Artist</t>
  </si>
  <si>
    <t>Baking</t>
  </si>
  <si>
    <t>Botany</t>
  </si>
  <si>
    <t>Bribery</t>
  </si>
  <si>
    <t>Conversation</t>
  </si>
  <si>
    <t>Cooking</t>
  </si>
  <si>
    <t>Court Dancing</t>
  </si>
  <si>
    <t>Craftsman</t>
  </si>
  <si>
    <t>Creature Lore</t>
  </si>
  <si>
    <t>Dwarven Military Orders</t>
  </si>
  <si>
    <t>Etiquette</t>
  </si>
  <si>
    <t>Fishing</t>
  </si>
  <si>
    <t>Flirting</t>
  </si>
  <si>
    <t>Forgery</t>
  </si>
  <si>
    <t>Gliding</t>
  </si>
  <si>
    <t>Horror Lore</t>
  </si>
  <si>
    <t>Hunting</t>
  </si>
  <si>
    <t>Legends &amp; Heroes</t>
  </si>
  <si>
    <t>Lock Picking</t>
  </si>
  <si>
    <t>Navigation</t>
  </si>
  <si>
    <t>Physician</t>
  </si>
  <si>
    <t>Racial History</t>
  </si>
  <si>
    <t>Racial Lore</t>
  </si>
  <si>
    <t>Racial Politics</t>
  </si>
  <si>
    <t>Research</t>
  </si>
  <si>
    <t>Sailing</t>
  </si>
  <si>
    <t>Scourge History</t>
  </si>
  <si>
    <t>Seduction</t>
  </si>
  <si>
    <t>Streetwise</t>
  </si>
  <si>
    <t>Swimming</t>
  </si>
  <si>
    <t>Tactics</t>
  </si>
  <si>
    <t>Trading</t>
  </si>
  <si>
    <t>Wilderness Survival</t>
  </si>
  <si>
    <t>Illusionist Spells</t>
  </si>
  <si>
    <t>Nethermancer Spells</t>
  </si>
  <si>
    <t>Wizard Spells</t>
  </si>
  <si>
    <t>Up to 24 hr</t>
  </si>
  <si>
    <t>1+R min</t>
  </si>
  <si>
    <t>4+R hr</t>
  </si>
  <si>
    <t>3+R hr</t>
  </si>
  <si>
    <t>1+R hr</t>
  </si>
  <si>
    <t>7+R min</t>
  </si>
  <si>
    <t>2+R rnd</t>
  </si>
  <si>
    <t>15+R min</t>
  </si>
  <si>
    <t>R rnd</t>
  </si>
  <si>
    <t>8+R rnd</t>
  </si>
  <si>
    <t>4 rnd</t>
  </si>
  <si>
    <t>12+R rnd</t>
  </si>
  <si>
    <t>R day</t>
  </si>
  <si>
    <t>6+R min</t>
  </si>
  <si>
    <t>1+R day</t>
  </si>
  <si>
    <t>6+R rnd</t>
  </si>
  <si>
    <t>8+R min</t>
  </si>
  <si>
    <t>3+R day</t>
  </si>
  <si>
    <t>R hr</t>
  </si>
  <si>
    <t>12+R hr</t>
  </si>
  <si>
    <t>15+R rnd</t>
  </si>
  <si>
    <t>7+R day</t>
  </si>
  <si>
    <t>20+R min</t>
  </si>
  <si>
    <t>30+R min</t>
  </si>
  <si>
    <t>2 rnd</t>
  </si>
  <si>
    <t>7+R hr</t>
  </si>
  <si>
    <t>4+R rnd</t>
  </si>
  <si>
    <t>1+R rnd</t>
  </si>
  <si>
    <t>6+R hr</t>
  </si>
  <si>
    <t>10+R hr</t>
  </si>
  <si>
    <t>1min</t>
  </si>
  <si>
    <t>R  wk</t>
  </si>
  <si>
    <t>3+R mth</t>
  </si>
  <si>
    <t>Wp+d10 rnd</t>
  </si>
  <si>
    <t>R wk</t>
  </si>
  <si>
    <t>7+R yr</t>
  </si>
  <si>
    <t>W+7 min</t>
  </si>
  <si>
    <t>Wp+5 min</t>
  </si>
  <si>
    <t>W+5 rnd</t>
  </si>
  <si>
    <t>W rnd</t>
  </si>
  <si>
    <t>1 mth</t>
  </si>
  <si>
    <t>ToShow</t>
  </si>
  <si>
    <t>Death R.</t>
  </si>
  <si>
    <t>Windranger</t>
  </si>
  <si>
    <t>Wound Balance (D)</t>
  </si>
  <si>
    <t>00000</t>
  </si>
  <si>
    <t>01000</t>
  </si>
  <si>
    <t>00100</t>
  </si>
  <si>
    <t>01100</t>
  </si>
  <si>
    <t>Stat Increase</t>
  </si>
  <si>
    <t>Attribute Cost</t>
  </si>
  <si>
    <t>DamDice</t>
  </si>
  <si>
    <t>Initiative Die</t>
  </si>
  <si>
    <t>Physical Defense</t>
  </si>
  <si>
    <t>Spell Defense</t>
  </si>
  <si>
    <t>Social Defense</t>
  </si>
  <si>
    <t>Initiative</t>
  </si>
  <si>
    <t>Recovery Tests</t>
  </si>
  <si>
    <t>Recovery Step</t>
  </si>
  <si>
    <t>Wound Threshold</t>
  </si>
  <si>
    <t>Physical Armor</t>
  </si>
  <si>
    <t>Mystic Armor</t>
  </si>
  <si>
    <t>ADDITIONAL INCREASES</t>
  </si>
  <si>
    <t>Other</t>
  </si>
  <si>
    <t>Legendary Status</t>
  </si>
  <si>
    <t>Strain</t>
  </si>
  <si>
    <t>Show these spells</t>
  </si>
  <si>
    <t>Target</t>
  </si>
  <si>
    <t>Apprentice</t>
  </si>
  <si>
    <t>Journeyman</t>
  </si>
  <si>
    <t>Note</t>
  </si>
  <si>
    <t>KNOWLEDGE SKILLS</t>
  </si>
  <si>
    <t>ARTISAN SKILLS</t>
  </si>
  <si>
    <t>GENERAL SKILLS</t>
  </si>
  <si>
    <t>Robe Embroidery</t>
  </si>
  <si>
    <t>Atrib</t>
  </si>
  <si>
    <t>Tattooing</t>
  </si>
  <si>
    <t>Barsaivian History</t>
  </si>
  <si>
    <t>S+3</t>
  </si>
  <si>
    <t>D+3</t>
  </si>
  <si>
    <t>TALENT SKILLS</t>
  </si>
  <si>
    <t>RACIAL ABILITIES</t>
  </si>
  <si>
    <t>Tail Attack, Swim</t>
  </si>
  <si>
    <t>Astral Sight, Flight, +2 Physical Def., Move +2/-6</t>
  </si>
  <si>
    <t>Air Legs</t>
  </si>
  <si>
    <t>Assault</t>
  </si>
  <si>
    <t>Vertical Jump</t>
  </si>
  <si>
    <t>Arrow Stop</t>
  </si>
  <si>
    <t>Backbiter</t>
  </si>
  <si>
    <t>Explosive Flame Arrow</t>
  </si>
  <si>
    <t>Extend Range</t>
  </si>
  <si>
    <t>Fire Arrow</t>
  </si>
  <si>
    <t>Invisible Mark</t>
  </si>
  <si>
    <t>Mystic True Shot</t>
  </si>
  <si>
    <t>Spirit Flame</t>
  </si>
  <si>
    <t>Tracking Direction Arrow</t>
  </si>
  <si>
    <t>Cat's  Skill</t>
  </si>
  <si>
    <t>Claw Tool</t>
  </si>
  <si>
    <t>Share Sense</t>
  </si>
  <si>
    <t>Air Mount</t>
  </si>
  <si>
    <t>Feinting  Lounge</t>
  </si>
  <si>
    <t>Feinting Retreat</t>
  </si>
  <si>
    <t>Mountain Hoof</t>
  </si>
  <si>
    <t>Water Mount</t>
  </si>
  <si>
    <t>Wound Share</t>
  </si>
  <si>
    <t>Air Whisper</t>
  </si>
  <si>
    <t>Far Speaking</t>
  </si>
  <si>
    <t>Halt Disease</t>
  </si>
  <si>
    <t>Heal Others</t>
  </si>
  <si>
    <t>Increased Dispel Difficulty</t>
  </si>
  <si>
    <t>Spell Design</t>
  </si>
  <si>
    <t>Wound Heal</t>
  </si>
  <si>
    <t>Astral Spy</t>
  </si>
  <si>
    <t>Deathsight</t>
  </si>
  <si>
    <t>Orbiting Watcher</t>
  </si>
  <si>
    <t>Spirit Shield</t>
  </si>
  <si>
    <t>Body Armor</t>
  </si>
  <si>
    <t>Adept's Best Friend</t>
  </si>
  <si>
    <t>Astral Tracking</t>
  </si>
  <si>
    <t>By The Fingernails</t>
  </si>
  <si>
    <t>Lay of The Land</t>
  </si>
  <si>
    <t>Arrow Cutting</t>
  </si>
  <si>
    <t>Boarding Action</t>
  </si>
  <si>
    <t>Flaming Wounds</t>
  </si>
  <si>
    <t>Flying Kick</t>
  </si>
  <si>
    <t>Glint</t>
  </si>
  <si>
    <t>Hard Glare</t>
  </si>
  <si>
    <t>Weapon Scream</t>
  </si>
  <si>
    <t>Claw Riposte</t>
  </si>
  <si>
    <t>Flourish</t>
  </si>
  <si>
    <t>Parry</t>
  </si>
  <si>
    <t>Second Riposte</t>
  </si>
  <si>
    <t>Second Tail</t>
  </si>
  <si>
    <t>Setup</t>
  </si>
  <si>
    <t>Snag Weapon</t>
  </si>
  <si>
    <t>Spell Riposte</t>
  </si>
  <si>
    <t>Sword Rattler</t>
  </si>
  <si>
    <t>Swordcrash</t>
  </si>
  <si>
    <t>Avoid Spell</t>
  </si>
  <si>
    <t>Covet Item</t>
  </si>
  <si>
    <t>Create Mechanical Trap</t>
  </si>
  <si>
    <t>Improvised Missiles</t>
  </si>
  <si>
    <t>Lightning Throw</t>
  </si>
  <si>
    <t>Offguard</t>
  </si>
  <si>
    <t>Defuse Mob</t>
  </si>
  <si>
    <t>Disassociate</t>
  </si>
  <si>
    <t>Epic</t>
  </si>
  <si>
    <t>Mimic Music</t>
  </si>
  <si>
    <t>More Than Words</t>
  </si>
  <si>
    <t>Rapier Wit</t>
  </si>
  <si>
    <t>Title2</t>
  </si>
  <si>
    <t>Read/Write Magic (D)</t>
  </si>
  <si>
    <t>Climbing (D)</t>
  </si>
  <si>
    <t>Lock Pick (D)</t>
  </si>
  <si>
    <t>Emotion Song (D)</t>
  </si>
  <si>
    <t>Avoid Blow (D)</t>
  </si>
  <si>
    <t>Missile Weapon (D)</t>
  </si>
  <si>
    <t>Dominate Beast (D)</t>
  </si>
  <si>
    <t>Spellcasting (D)</t>
  </si>
  <si>
    <t>Mystic Aim (D)</t>
  </si>
  <si>
    <t>Tracking (D)</t>
  </si>
  <si>
    <t>Fireblood (D)</t>
  </si>
  <si>
    <t>Picking Pockets (D)</t>
  </si>
  <si>
    <t>Silent Walk (D)</t>
  </si>
  <si>
    <t>Trick Riding (D)</t>
  </si>
  <si>
    <t>Mimic Voice (D)</t>
  </si>
  <si>
    <t>Wood Skin (D)</t>
  </si>
  <si>
    <t>Weapon History (D)</t>
  </si>
  <si>
    <t>Thread Weaving (Elementalist)</t>
  </si>
  <si>
    <t>Thread Weaving (Nethermancer)</t>
  </si>
  <si>
    <t>Surprise Strike (D)</t>
  </si>
  <si>
    <t>Thread Weaving (Wizard)</t>
  </si>
  <si>
    <t>Durability (6/5)</t>
  </si>
  <si>
    <t>Durability (7/6)</t>
  </si>
  <si>
    <t>Durability (4/3)</t>
  </si>
  <si>
    <t>Durability (8/6)</t>
  </si>
  <si>
    <t>Durability (5/4)</t>
  </si>
  <si>
    <t>Durability (9/7)</t>
  </si>
  <si>
    <t>Animal Training (D)</t>
  </si>
  <si>
    <t>Fire Heal (D)</t>
  </si>
  <si>
    <t>Disguise Self (D)</t>
  </si>
  <si>
    <t>Astral Sight (D)</t>
  </si>
  <si>
    <t>Riposte (D)</t>
  </si>
  <si>
    <t>item History</t>
  </si>
  <si>
    <t>Anticipate Blow (D)</t>
  </si>
  <si>
    <t>Evidence Analysis (D)</t>
  </si>
  <si>
    <t>Creature Analysis (D)</t>
  </si>
  <si>
    <t>Empathic Command (D)</t>
  </si>
  <si>
    <t>Read/Write Language</t>
  </si>
  <si>
    <t>Shield Charge (D)</t>
  </si>
  <si>
    <t>Spirit Mount (D)</t>
  </si>
  <si>
    <t>Air Speaking (D)</t>
  </si>
  <si>
    <t>Empathic Sense (D)</t>
  </si>
  <si>
    <t>Read/Write Language (D)</t>
  </si>
  <si>
    <t>Frighten Animal Servant (D)</t>
  </si>
  <si>
    <t>Resist Taunt (D)</t>
  </si>
  <si>
    <t>False Sight (D)</t>
  </si>
  <si>
    <t>Thread Weaving (Sky Raider)</t>
  </si>
  <si>
    <t>Thread Weaving (Swordmaster)</t>
  </si>
  <si>
    <t>Thread Weaving (Thief)</t>
  </si>
  <si>
    <t>Down Strike (D)</t>
  </si>
  <si>
    <t>Arcane Mutterings (D)</t>
  </si>
  <si>
    <t>Thread Weaving (Archer)</t>
  </si>
  <si>
    <t>Thread Weaving (Beastmaster)</t>
  </si>
  <si>
    <t>Thread Weaving (Cavalryman)</t>
  </si>
  <si>
    <t>Thread Weaving (Scout)</t>
  </si>
  <si>
    <t>Thread Weaving (Troubadour)</t>
  </si>
  <si>
    <t>Thread Weaving (Warrior)</t>
  </si>
  <si>
    <t>Thread Weaving (Weaponsmith)</t>
  </si>
  <si>
    <t>Thread Weaving (Ranger)</t>
  </si>
  <si>
    <t>Cold Purify (D)</t>
  </si>
  <si>
    <t>Disarm Mechanical Trap (D)</t>
  </si>
  <si>
    <t>Engaging Banter (D)</t>
  </si>
  <si>
    <t>Gliding Stride (D)</t>
  </si>
  <si>
    <t>Stopping Aim (D)</t>
  </si>
  <si>
    <t>Wheeling Defense (D)</t>
  </si>
  <si>
    <t>Spirit Hold (D)</t>
  </si>
  <si>
    <t>Swift Kick (D)</t>
  </si>
  <si>
    <t>Warp Missile (D)</t>
  </si>
  <si>
    <t>Disarm (D)</t>
  </si>
  <si>
    <t>Disguise (D)</t>
  </si>
  <si>
    <t>Life Check (D)</t>
  </si>
  <si>
    <t>Lizard Leap (D)</t>
  </si>
  <si>
    <t>Spirit Talk (D)</t>
  </si>
  <si>
    <t>Lifesight (D)</t>
  </si>
  <si>
    <t>Sense Poison (D)</t>
  </si>
  <si>
    <t>Spirit Dodge (D)</t>
  </si>
  <si>
    <t>Throwing Weapon (D)</t>
  </si>
  <si>
    <t>Lion Heart (D)</t>
  </si>
  <si>
    <t>Mind Wave (D)</t>
  </si>
  <si>
    <t>Crushing Blow (D)</t>
  </si>
  <si>
    <t>Cobra Strike (D)</t>
  </si>
  <si>
    <t>Poison Resistance (D)</t>
  </si>
  <si>
    <t>True Sight (D)</t>
  </si>
  <si>
    <t>Orbiting Spy (D)</t>
  </si>
  <si>
    <t>Spirit Strike (D)</t>
  </si>
  <si>
    <t>Wind Dance (D)</t>
  </si>
  <si>
    <t>impressive Shot (D)</t>
  </si>
  <si>
    <t>Animal Possession (D)</t>
  </si>
  <si>
    <t>Bardic Voice (D)</t>
  </si>
  <si>
    <t>Read/Write Magic</t>
  </si>
  <si>
    <t>Lip Reading (D)</t>
  </si>
  <si>
    <t>Sense Magic Weapon (D)</t>
  </si>
  <si>
    <t>Trace Missile (D)</t>
  </si>
  <si>
    <t>Pin (D)</t>
  </si>
  <si>
    <t>Dominate Arrow (D)</t>
  </si>
  <si>
    <t>Critical Hit (D)</t>
  </si>
  <si>
    <t>Rushing Attack (D)</t>
  </si>
  <si>
    <t>Summoning Circle (D)</t>
  </si>
  <si>
    <t>Whirlwind (D)</t>
  </si>
  <si>
    <t>Develop Animal Sense (D)</t>
  </si>
  <si>
    <t>Heal Animal Servant (D)</t>
  </si>
  <si>
    <t>Quick Shot (D)</t>
  </si>
  <si>
    <t>Thoughtful Expression (D)</t>
  </si>
  <si>
    <t>Bargain With Summoned Creature (D)</t>
  </si>
  <si>
    <t>Shield Beater (D)</t>
  </si>
  <si>
    <t>Song of Deflection (D)</t>
  </si>
  <si>
    <t>Casting Pattern (D)</t>
  </si>
  <si>
    <t>Bestial Resilience (D)</t>
  </si>
  <si>
    <t>Matrix Strike (D)</t>
  </si>
  <si>
    <t>Thought Link (D)</t>
  </si>
  <si>
    <t>Screaming Arrow (D)</t>
  </si>
  <si>
    <t>Stone Skin (D)</t>
  </si>
  <si>
    <t>Multi-Shot (D)</t>
  </si>
  <si>
    <t>Multiweaving (D)</t>
  </si>
  <si>
    <t>Spirit Tallk</t>
  </si>
  <si>
    <t>Multi-Charge (D)</t>
  </si>
  <si>
    <t>Wind Bow (D)</t>
  </si>
  <si>
    <t>Multi-Strike (D)</t>
  </si>
  <si>
    <t>DURABiLiTY</t>
  </si>
  <si>
    <t>Air Sailor</t>
  </si>
  <si>
    <t>illusionist</t>
  </si>
  <si>
    <t>iMPROVEMENTS BY DiSCiPLiNE (PD/SD/SOD/iNiT/REC)</t>
  </si>
  <si>
    <t>Matrix Split</t>
  </si>
  <si>
    <t>TALENT KNACKS,  BY DiCiPLiNE</t>
  </si>
  <si>
    <t>invisible Mark</t>
  </si>
  <si>
    <t>Karma Ritual (Archer)</t>
  </si>
  <si>
    <t>Karma Ritual (Beastmaster)</t>
  </si>
  <si>
    <t>Karma Ritual (Elementalist)</t>
  </si>
  <si>
    <t>Karma Ritual (Nethermancer)</t>
  </si>
  <si>
    <t>Karma Ritual (Scout)</t>
  </si>
  <si>
    <t>Karma Ritual (Sky Raider)</t>
  </si>
  <si>
    <t>Karma Ritual (Swordmaster)</t>
  </si>
  <si>
    <t>Karma Ritual (Thief)</t>
  </si>
  <si>
    <t>Karma Ritual (Troubadour)</t>
  </si>
  <si>
    <t>Karma Ritual (Warrior)</t>
  </si>
  <si>
    <t>Karma Ritual (Weaponsmith)</t>
  </si>
  <si>
    <t>Karma Ritual (Wizard)</t>
  </si>
  <si>
    <t>Animal Bond (D)</t>
  </si>
  <si>
    <t>Air Sailing (D)</t>
  </si>
  <si>
    <t>Air Tracking (D)</t>
  </si>
  <si>
    <t>Direction Arrow (D)</t>
  </si>
  <si>
    <t>Impressive Shot (D)</t>
  </si>
  <si>
    <t>Trap Initiative (D)</t>
  </si>
  <si>
    <t>Scent Identifier (D)</t>
  </si>
  <si>
    <t>Karma Ritual (Illusionist)</t>
  </si>
  <si>
    <t>Incite Stampede (D)</t>
  </si>
  <si>
    <t>Incite Mob (D)</t>
  </si>
  <si>
    <t>Talent Ranks</t>
  </si>
  <si>
    <t>Knacks</t>
  </si>
  <si>
    <t>Improve</t>
  </si>
  <si>
    <t>Skills</t>
  </si>
  <si>
    <t>Thr:</t>
  </si>
  <si>
    <t>Free Ranks</t>
  </si>
  <si>
    <t>Attributes</t>
  </si>
  <si>
    <t>Karma Points</t>
  </si>
  <si>
    <t>LP EXPENDITURE</t>
  </si>
  <si>
    <t>LPs</t>
  </si>
  <si>
    <t>Strength of the Sky</t>
  </si>
  <si>
    <t>Resurrect  Mount</t>
  </si>
  <si>
    <t>Fire and Ice</t>
  </si>
  <si>
    <t>Earth and Wind</t>
  </si>
  <si>
    <t>Metal Strength</t>
  </si>
  <si>
    <t>Hide Matrix</t>
  </si>
  <si>
    <t>Otherworldly Control</t>
  </si>
  <si>
    <t>Astral Face</t>
  </si>
  <si>
    <t>Enhance Senses</t>
  </si>
  <si>
    <t>Blend</t>
  </si>
  <si>
    <t>Lightning Song</t>
  </si>
  <si>
    <t>Keen  Blade</t>
  </si>
  <si>
    <t>Shadowcloak</t>
  </si>
  <si>
    <t>Thieves' Tongue</t>
  </si>
  <si>
    <t>Shadow Heal</t>
  </si>
  <si>
    <t>The Tale</t>
  </si>
  <si>
    <t>Ghost Song</t>
  </si>
  <si>
    <t>Death Stand</t>
  </si>
  <si>
    <t>Blood Edge</t>
  </si>
  <si>
    <t>Create Orichalcium</t>
  </si>
  <si>
    <t>Casting Triangle</t>
  </si>
  <si>
    <t>00000R</t>
  </si>
  <si>
    <t>10000R</t>
  </si>
  <si>
    <t>10000RS</t>
  </si>
  <si>
    <t>10001RS</t>
  </si>
  <si>
    <t>10001RSW</t>
  </si>
  <si>
    <t>10201RSW</t>
  </si>
  <si>
    <t>12201RSW</t>
  </si>
  <si>
    <t>12203RSW</t>
  </si>
  <si>
    <t>12203RSWDC</t>
  </si>
  <si>
    <t>15203RSWDC</t>
  </si>
  <si>
    <t>35203RSWDC</t>
  </si>
  <si>
    <t>R</t>
  </si>
  <si>
    <t>F</t>
  </si>
  <si>
    <t>M</t>
  </si>
  <si>
    <t>U</t>
  </si>
  <si>
    <t>Missile Damage</t>
  </si>
  <si>
    <t>Melee Damage</t>
  </si>
  <si>
    <t>Unarmed Damage</t>
  </si>
  <si>
    <t>O</t>
  </si>
  <si>
    <t>00000D</t>
  </si>
  <si>
    <t>10000D</t>
  </si>
  <si>
    <t>01100D</t>
  </si>
  <si>
    <t>11100D</t>
  </si>
  <si>
    <t>13100D</t>
  </si>
  <si>
    <t>13100DWF</t>
  </si>
  <si>
    <t>13101DWFR</t>
  </si>
  <si>
    <t>15101DWFR</t>
  </si>
  <si>
    <t>35101DWFR</t>
  </si>
  <si>
    <t>36121DWFR</t>
  </si>
  <si>
    <t>01000P</t>
  </si>
  <si>
    <t>02000P</t>
  </si>
  <si>
    <t>02000PC</t>
  </si>
  <si>
    <t>02100PC</t>
  </si>
  <si>
    <t>02100PCR</t>
  </si>
  <si>
    <t>22100PCR</t>
  </si>
  <si>
    <t>23100PCRWF</t>
  </si>
  <si>
    <t>23200PCRWF</t>
  </si>
  <si>
    <t>25200PCRWF</t>
  </si>
  <si>
    <t>35200PCRWF</t>
  </si>
  <si>
    <t>I</t>
  </si>
  <si>
    <t>E</t>
  </si>
  <si>
    <t>00000M</t>
  </si>
  <si>
    <t>10000M</t>
  </si>
  <si>
    <t>11000MR</t>
  </si>
  <si>
    <t>10000MR</t>
  </si>
  <si>
    <t>11100MR</t>
  </si>
  <si>
    <t>31100MR</t>
  </si>
  <si>
    <t>31100MRD</t>
  </si>
  <si>
    <t>51100MRD</t>
  </si>
  <si>
    <t>53100MRD</t>
  </si>
  <si>
    <t>63100MRD</t>
  </si>
  <si>
    <t>75100MRD</t>
  </si>
  <si>
    <t>00000S</t>
  </si>
  <si>
    <t>00100S</t>
  </si>
  <si>
    <t>10100S</t>
  </si>
  <si>
    <t>10100SE</t>
  </si>
  <si>
    <t>11100SE</t>
  </si>
  <si>
    <t>11100SECW</t>
  </si>
  <si>
    <t>11101SECWR</t>
  </si>
  <si>
    <t>12102SECWR</t>
  </si>
  <si>
    <t>12122SECWR</t>
  </si>
  <si>
    <t>14222SECWR</t>
  </si>
  <si>
    <t>00000DP</t>
  </si>
  <si>
    <t>10000DP</t>
  </si>
  <si>
    <t>11000DP</t>
  </si>
  <si>
    <t>11010DP</t>
  </si>
  <si>
    <t>21010DP</t>
  </si>
  <si>
    <t>22110DP</t>
  </si>
  <si>
    <t>22111DPR</t>
  </si>
  <si>
    <t>43111DPR</t>
  </si>
  <si>
    <t>43121DPR</t>
  </si>
  <si>
    <t>53221DPR</t>
  </si>
  <si>
    <t>AM 6</t>
  </si>
  <si>
    <t>ED 158</t>
  </si>
  <si>
    <t>ED 159</t>
  </si>
  <si>
    <t>Magic 132</t>
  </si>
  <si>
    <t>Magic 125</t>
  </si>
  <si>
    <t>AM 7</t>
  </si>
  <si>
    <t>ED 160</t>
  </si>
  <si>
    <t>Flame Strike*</t>
  </si>
  <si>
    <t>Magic 162</t>
  </si>
  <si>
    <t>AM 8</t>
  </si>
  <si>
    <t>ED 161</t>
  </si>
  <si>
    <t>AM 9</t>
  </si>
  <si>
    <t>ED 162</t>
  </si>
  <si>
    <t>AM 10</t>
  </si>
  <si>
    <t>AM 11</t>
  </si>
  <si>
    <t>Lightning's Step*</t>
  </si>
  <si>
    <t>Magic 133</t>
  </si>
  <si>
    <t>ED 163</t>
  </si>
  <si>
    <t>AM 12</t>
  </si>
  <si>
    <t>AM 13</t>
  </si>
  <si>
    <t>ED 164</t>
  </si>
  <si>
    <t>AM 14</t>
  </si>
  <si>
    <t>AM 15</t>
  </si>
  <si>
    <t>ED 165</t>
  </si>
  <si>
    <t>AM 16</t>
  </si>
  <si>
    <t>AM 17</t>
  </si>
  <si>
    <t>EDC 75</t>
  </si>
  <si>
    <t>EDC 76</t>
  </si>
  <si>
    <t>EDC 77</t>
  </si>
  <si>
    <t>EDC 78</t>
  </si>
  <si>
    <t>ED 167</t>
  </si>
  <si>
    <t>AM 19</t>
  </si>
  <si>
    <t>ED 168</t>
  </si>
  <si>
    <t>AM 20</t>
  </si>
  <si>
    <t>ED 169</t>
  </si>
  <si>
    <t>AM 21</t>
  </si>
  <si>
    <t>ED 170</t>
  </si>
  <si>
    <t>AM 22</t>
  </si>
  <si>
    <t>AM 23</t>
  </si>
  <si>
    <t>ED 171</t>
  </si>
  <si>
    <t>Enter and Exit*</t>
  </si>
  <si>
    <t>AM 24</t>
  </si>
  <si>
    <t>Magic 134</t>
  </si>
  <si>
    <t>AM 25</t>
  </si>
  <si>
    <t>Phantom Fireball*</t>
  </si>
  <si>
    <t>ED 172</t>
  </si>
  <si>
    <t>AM 26</t>
  </si>
  <si>
    <t>ED 173</t>
  </si>
  <si>
    <t>AM 27</t>
  </si>
  <si>
    <t>EDC 79</t>
  </si>
  <si>
    <t>EDC 80</t>
  </si>
  <si>
    <t>AM 29</t>
  </si>
  <si>
    <t>ED 174</t>
  </si>
  <si>
    <t>ED 175</t>
  </si>
  <si>
    <t>ED 176</t>
  </si>
  <si>
    <t>ED 177</t>
  </si>
  <si>
    <t>AM 30</t>
  </si>
  <si>
    <t>ED 178</t>
  </si>
  <si>
    <t>Magic 127</t>
  </si>
  <si>
    <t>AM 31</t>
  </si>
  <si>
    <t>ED 179</t>
  </si>
  <si>
    <t>ED 180</t>
  </si>
  <si>
    <t>AM 32</t>
  </si>
  <si>
    <t>AM 33</t>
  </si>
  <si>
    <t>AM 34</t>
  </si>
  <si>
    <t>AM 35</t>
  </si>
  <si>
    <t>AM 36</t>
  </si>
  <si>
    <t>ED 181</t>
  </si>
  <si>
    <t>AM 37</t>
  </si>
  <si>
    <t>ED 182</t>
  </si>
  <si>
    <t>AM 38</t>
  </si>
  <si>
    <t>Wit Friend</t>
  </si>
  <si>
    <t>AM 39</t>
  </si>
  <si>
    <t>EDC 81</t>
  </si>
  <si>
    <t>AM 40</t>
  </si>
  <si>
    <t>EDC 82</t>
  </si>
  <si>
    <t>EDC 83</t>
  </si>
  <si>
    <t>ED 183</t>
  </si>
  <si>
    <t>AM 43</t>
  </si>
  <si>
    <t>ED 185</t>
  </si>
  <si>
    <t>And His Money</t>
  </si>
  <si>
    <t>ED 184</t>
  </si>
  <si>
    <t>AM 44</t>
  </si>
  <si>
    <t>ED 186</t>
  </si>
  <si>
    <t>AM 45</t>
  </si>
  <si>
    <t>ED 187</t>
  </si>
  <si>
    <t>AM 46</t>
  </si>
  <si>
    <t>AM 47</t>
  </si>
  <si>
    <t>ED 188</t>
  </si>
  <si>
    <t>AM 48</t>
  </si>
  <si>
    <t>ED 189</t>
  </si>
  <si>
    <t>AM 49</t>
  </si>
  <si>
    <t>Call*</t>
  </si>
  <si>
    <t>EDC 84</t>
  </si>
  <si>
    <t>AM 50</t>
  </si>
  <si>
    <t>EDC 85</t>
  </si>
  <si>
    <t>EDC 86</t>
  </si>
  <si>
    <t>00000P</t>
  </si>
  <si>
    <t>01100P</t>
  </si>
  <si>
    <t>01110P</t>
  </si>
  <si>
    <t>02110P</t>
  </si>
  <si>
    <t>02110PWF</t>
  </si>
  <si>
    <t>23110PWF</t>
  </si>
  <si>
    <t>Mount's Actions</t>
  </si>
  <si>
    <t>23120PWFA</t>
  </si>
  <si>
    <t>25121PWFA</t>
  </si>
  <si>
    <t>26121PWFA</t>
  </si>
  <si>
    <t>36121PWFA</t>
  </si>
  <si>
    <t>00000DO</t>
  </si>
  <si>
    <t>00100DO</t>
  </si>
  <si>
    <t>10100DO</t>
  </si>
  <si>
    <t>20101DO</t>
  </si>
  <si>
    <t>20101DOPW</t>
  </si>
  <si>
    <t>22101DOPW</t>
  </si>
  <si>
    <t>32201DOPW</t>
  </si>
  <si>
    <t>53201DOPW</t>
  </si>
  <si>
    <t>54401DOPW</t>
  </si>
  <si>
    <t>11100P</t>
  </si>
  <si>
    <t>12100PR</t>
  </si>
  <si>
    <t>32100PR</t>
  </si>
  <si>
    <t>32101PR</t>
  </si>
  <si>
    <t>32101PRDW</t>
  </si>
  <si>
    <t>32201PRDW</t>
  </si>
  <si>
    <t>G</t>
  </si>
  <si>
    <t>Sword Damage</t>
  </si>
  <si>
    <t>00000DG</t>
  </si>
  <si>
    <t>00100DG</t>
  </si>
  <si>
    <t>10100DG</t>
  </si>
  <si>
    <t>10100DGW</t>
  </si>
  <si>
    <t>11110DGW</t>
  </si>
  <si>
    <t>11111DGWR</t>
  </si>
  <si>
    <t>11112DGWR</t>
  </si>
  <si>
    <t>11212DGWR</t>
  </si>
  <si>
    <t>12214DGWR</t>
  </si>
  <si>
    <t>13414DGWR</t>
  </si>
  <si>
    <t>01101D</t>
  </si>
  <si>
    <t>11101D</t>
  </si>
  <si>
    <t>11102DE</t>
  </si>
  <si>
    <t>11102DEW</t>
  </si>
  <si>
    <t>12112DEW</t>
  </si>
  <si>
    <t>32112DEW</t>
  </si>
  <si>
    <t>35112DEW</t>
  </si>
  <si>
    <t>00000W</t>
  </si>
  <si>
    <t>01000W</t>
  </si>
  <si>
    <t>01001W</t>
  </si>
  <si>
    <t>11001W</t>
  </si>
  <si>
    <t>12001W</t>
  </si>
  <si>
    <t>12001WDS</t>
  </si>
  <si>
    <t>12001WDSEN</t>
  </si>
  <si>
    <t>22101WDSEN</t>
  </si>
  <si>
    <t>22121WDSEN</t>
  </si>
  <si>
    <t>42131WDSEN</t>
  </si>
  <si>
    <t>53231WDSEN</t>
  </si>
  <si>
    <t>00000C</t>
  </si>
  <si>
    <t>01000C</t>
  </si>
  <si>
    <t>01100C</t>
  </si>
  <si>
    <t>01100CWF</t>
  </si>
  <si>
    <t>01101CWF</t>
  </si>
  <si>
    <t>03101CWF</t>
  </si>
  <si>
    <t>13201CWF</t>
  </si>
  <si>
    <t>14201CWFR</t>
  </si>
  <si>
    <t>14201CWFRD</t>
  </si>
  <si>
    <t>15201CWFRD</t>
  </si>
  <si>
    <t>25401CWFRD</t>
  </si>
  <si>
    <t>21011DP</t>
  </si>
  <si>
    <t>22011DPR</t>
  </si>
  <si>
    <t>Karma+25</t>
  </si>
  <si>
    <t>MaxK</t>
  </si>
  <si>
    <t>Max Karma</t>
  </si>
  <si>
    <t>Others' Social Actions</t>
  </si>
  <si>
    <t>Songs Of Inspiration</t>
  </si>
  <si>
    <t>Telling The Tale</t>
  </si>
  <si>
    <t>Understudy</t>
  </si>
  <si>
    <t>Bounce</t>
  </si>
  <si>
    <t>Head Butt</t>
  </si>
  <si>
    <t>Improvised Weapons</t>
  </si>
  <si>
    <t>Mighty Throw</t>
  </si>
  <si>
    <t>Pin Down</t>
  </si>
  <si>
    <t>Faulty Bowyer</t>
  </si>
  <si>
    <t>Faulty Goods</t>
  </si>
  <si>
    <t>Forge Arrow</t>
  </si>
  <si>
    <t>Here's The Deal</t>
  </si>
  <si>
    <t>Remove Curse</t>
  </si>
  <si>
    <t>Sense Curse</t>
  </si>
  <si>
    <t>Smooth Armor</t>
  </si>
  <si>
    <t>Whittle Weapons</t>
  </si>
  <si>
    <t>Arcane Curses</t>
  </si>
  <si>
    <t>Diagnose</t>
  </si>
  <si>
    <t>Hold Multiple Threads</t>
  </si>
  <si>
    <t>Remember Conversation</t>
  </si>
  <si>
    <t>Subliminal Mutterings</t>
  </si>
  <si>
    <t>Braiding Threads</t>
  </si>
  <si>
    <t>Talent Linking</t>
  </si>
  <si>
    <t>Thread Masking</t>
  </si>
  <si>
    <t>Thread Sight</t>
  </si>
  <si>
    <t>Unraveling</t>
  </si>
  <si>
    <t>Glide</t>
  </si>
  <si>
    <t>Missile  Weapon</t>
  </si>
  <si>
    <t>Swift Hoof</t>
  </si>
  <si>
    <t>Emphatic Sense</t>
  </si>
  <si>
    <t>Knack</t>
  </si>
  <si>
    <t>Known</t>
  </si>
  <si>
    <t>Thread Weaving*</t>
  </si>
  <si>
    <t>MinR</t>
  </si>
  <si>
    <t>Offer</t>
  </si>
  <si>
    <t>S/M-2/L-3</t>
  </si>
  <si>
    <t>SPECIAL ABILITIES</t>
  </si>
  <si>
    <t>Glamour</t>
  </si>
  <si>
    <t>Evaluate Metal</t>
  </si>
  <si>
    <t>Knacks to offer:</t>
  </si>
  <si>
    <t>Speciality</t>
  </si>
  <si>
    <t>Src</t>
  </si>
  <si>
    <t>CumDam</t>
  </si>
  <si>
    <t>List</t>
  </si>
  <si>
    <t>Matrices:</t>
  </si>
  <si>
    <t>Suffocates &amp; Blinds Target</t>
  </si>
  <si>
    <t>Enh. Matrix</t>
  </si>
  <si>
    <t>Arm. Matrix</t>
  </si>
  <si>
    <t>Wp</t>
  </si>
  <si>
    <t>½ Move, -5 Steps to Dex. Tests</t>
  </si>
  <si>
    <t>R*10 min</t>
  </si>
  <si>
    <t>R*10 hr</t>
  </si>
  <si>
    <t>varies</t>
  </si>
  <si>
    <t>Effect in words</t>
  </si>
  <si>
    <t>Forged</t>
  </si>
  <si>
    <t>Title1</t>
  </si>
  <si>
    <t>DICIPLINE INFORMATION</t>
  </si>
  <si>
    <t>ARMORS &amp; SHIELDS</t>
  </si>
  <si>
    <t>EARTHDAWN CHARACTER GENERATOR</t>
  </si>
  <si>
    <t>k'stulaami only</t>
  </si>
  <si>
    <t>The Kiss</t>
  </si>
  <si>
    <t>Evaluate Weapon</t>
  </si>
  <si>
    <t>Dic1</t>
  </si>
  <si>
    <t>Dic2</t>
  </si>
  <si>
    <t>Enhanced Senses</t>
  </si>
  <si>
    <t>Special</t>
  </si>
  <si>
    <t>Spec1</t>
  </si>
  <si>
    <t>Spec2</t>
  </si>
  <si>
    <t>Spec</t>
  </si>
  <si>
    <t>BLOOD CHARMS</t>
  </si>
  <si>
    <t>Absorb Blow</t>
  </si>
  <si>
    <t>Astral Sensitive Eye</t>
  </si>
  <si>
    <t>Death Cheat</t>
  </si>
  <si>
    <t>Desperate Blow</t>
  </si>
  <si>
    <t>Desperate Spell</t>
  </si>
  <si>
    <t>Horror Fend</t>
  </si>
  <si>
    <t>CLOTHING</t>
  </si>
  <si>
    <t>Peasant's Garb</t>
  </si>
  <si>
    <t>Traveler's Garb</t>
  </si>
  <si>
    <t>Wealthy Traveler's Garb</t>
  </si>
  <si>
    <t>Peasant's Robes</t>
  </si>
  <si>
    <t>Traveler's Robes</t>
  </si>
  <si>
    <t>Wealthy Traveler's Robes</t>
  </si>
  <si>
    <t>Belt</t>
  </si>
  <si>
    <t>Boots, Soft</t>
  </si>
  <si>
    <t>Boots, Riding</t>
  </si>
  <si>
    <t>Boots, Mountain</t>
  </si>
  <si>
    <t>Breeches, Peasant's</t>
  </si>
  <si>
    <t>Breeches, Merchant's</t>
  </si>
  <si>
    <t>Breeches, Guild member's</t>
  </si>
  <si>
    <t>Brooch, Plain brass</t>
  </si>
  <si>
    <t>Brooch, Ornamental</t>
  </si>
  <si>
    <t>Brooch, Silver</t>
  </si>
  <si>
    <t>Brooch, Gold</t>
  </si>
  <si>
    <t>Brooch, Cloaksense</t>
  </si>
  <si>
    <t>Cloak, Wool</t>
  </si>
  <si>
    <t>Cloak, Silk</t>
  </si>
  <si>
    <t>Cloak, Fur-trimmed</t>
  </si>
  <si>
    <t>Cloak, Espagra-scale</t>
  </si>
  <si>
    <t>Move</t>
  </si>
  <si>
    <t>1H</t>
  </si>
  <si>
    <t>2H</t>
  </si>
  <si>
    <t>Dex</t>
  </si>
  <si>
    <t>Tou</t>
  </si>
  <si>
    <t>Per</t>
  </si>
  <si>
    <t>Wil</t>
  </si>
  <si>
    <t>Cha</t>
  </si>
  <si>
    <t>Armor Multipliers</t>
  </si>
  <si>
    <t>Increases</t>
  </si>
  <si>
    <t>Legend</t>
  </si>
  <si>
    <t>0th</t>
  </si>
  <si>
    <t>Zeroth</t>
  </si>
  <si>
    <t>Number names</t>
  </si>
  <si>
    <t>Long</t>
  </si>
  <si>
    <t>Short</t>
  </si>
  <si>
    <t>Racial Abilities</t>
  </si>
  <si>
    <t>Racial Weapon Sizes</t>
  </si>
  <si>
    <t>Min</t>
  </si>
  <si>
    <t>Fitting</t>
  </si>
  <si>
    <t>RecSt</t>
  </si>
  <si>
    <t>PhysA</t>
  </si>
  <si>
    <t>MysA</t>
  </si>
  <si>
    <t>Movement Rate</t>
  </si>
  <si>
    <t>Base:</t>
  </si>
  <si>
    <t>ActionDice</t>
  </si>
  <si>
    <t>THREADS WOVEN TO PERSONAL ATTRIBUTES</t>
  </si>
  <si>
    <t>Thread Rank</t>
  </si>
  <si>
    <t>Cloak, Theran</t>
  </si>
  <si>
    <t>Dress, Plain</t>
  </si>
  <si>
    <t>Dress, Patterned</t>
  </si>
  <si>
    <t>Dress, Embroidered</t>
  </si>
  <si>
    <t>Dress, Satin</t>
  </si>
  <si>
    <t>Dress, Ballroom gown</t>
  </si>
  <si>
    <t>Dress, Theran</t>
  </si>
  <si>
    <t>Gloves, Leather</t>
  </si>
  <si>
    <t>Gloves, Quiet fingers</t>
  </si>
  <si>
    <t>Hat, Felt</t>
  </si>
  <si>
    <t>Hat, Woolen cap</t>
  </si>
  <si>
    <t>Hat, One-size</t>
  </si>
  <si>
    <t>Hooded mask</t>
  </si>
  <si>
    <t>Hosiery, Plain</t>
  </si>
  <si>
    <t>Hosiery, Silk</t>
  </si>
  <si>
    <t>Jacket, Wool</t>
  </si>
  <si>
    <t>Jacket, Silk</t>
  </si>
  <si>
    <t>Jacket, Courtier's</t>
  </si>
  <si>
    <t>Robe, Linen</t>
  </si>
  <si>
    <t>Robe, Embroidered</t>
  </si>
  <si>
    <t>Robe, Elfweave</t>
  </si>
  <si>
    <t>Sandals</t>
  </si>
  <si>
    <t>Shirt, Plain</t>
  </si>
  <si>
    <t>Shirt, Patterned</t>
  </si>
  <si>
    <t>Shirt, Silk</t>
  </si>
  <si>
    <t>Shoes, Merchant's</t>
  </si>
  <si>
    <t>Shoes, Courtier's</t>
  </si>
  <si>
    <t>Scarf</t>
  </si>
  <si>
    <t>Sword scabbard</t>
  </si>
  <si>
    <t>Toga</t>
  </si>
  <si>
    <t>Tunic</t>
  </si>
  <si>
    <t>PROVISIONS</t>
  </si>
  <si>
    <t>Adventurer's Kit</t>
  </si>
  <si>
    <t>Allows voice to be heard</t>
  </si>
  <si>
    <t>5/10</t>
  </si>
  <si>
    <t>8/14</t>
  </si>
  <si>
    <t>Blinds target</t>
  </si>
  <si>
    <t>See text</t>
  </si>
  <si>
    <t>Creates 3 images of target</t>
  </si>
  <si>
    <t>Conceals tracks</t>
  </si>
  <si>
    <t>1 yd</t>
  </si>
  <si>
    <t>-8 to Wound Threshold</t>
  </si>
  <si>
    <t>5 rnd</t>
  </si>
  <si>
    <t>Grants low-light vision</t>
  </si>
  <si>
    <t>SD of Door</t>
  </si>
  <si>
    <t>Creates/Alters illusions of doors</t>
  </si>
  <si>
    <t>Bellow of the Thundras*</t>
  </si>
  <si>
    <t>Blazing Fists of Rage*</t>
  </si>
  <si>
    <t>Catseyes*</t>
  </si>
  <si>
    <t>Fun With Doors*</t>
  </si>
  <si>
    <t>True Blazing Fists of Rage*</t>
  </si>
  <si>
    <t>Blindness*</t>
  </si>
  <si>
    <t>Disaster*</t>
  </si>
  <si>
    <t>Encrypt*</t>
  </si>
  <si>
    <t>Impossible Knot*</t>
  </si>
  <si>
    <t>Remove Shadow*</t>
  </si>
  <si>
    <t>Removes subject's shadow</t>
  </si>
  <si>
    <t>Tailor</t>
  </si>
  <si>
    <t>+6 Steps to Charisma</t>
  </si>
  <si>
    <t>You Got Me*</t>
  </si>
  <si>
    <t>And Then I Woke Up*</t>
  </si>
  <si>
    <t>+8 Steps to Perception</t>
  </si>
  <si>
    <t>Blinding Glare*</t>
  </si>
  <si>
    <t>See the Unseen*</t>
  </si>
  <si>
    <t>Phantom Warrior*</t>
  </si>
  <si>
    <t>Soothe the Savage Beast*</t>
  </si>
  <si>
    <t>Hypnotizes target animal</t>
  </si>
  <si>
    <t>Suffocation</t>
  </si>
  <si>
    <t>Aura*</t>
  </si>
  <si>
    <t>Bleeding Edge*</t>
  </si>
  <si>
    <t>+5 Steps to weapon damage</t>
  </si>
  <si>
    <t>Conceal Tracks*</t>
  </si>
  <si>
    <t>-2 Step to Attack tests</t>
  </si>
  <si>
    <t>Great Weapon*</t>
  </si>
  <si>
    <t>Hunger*</t>
  </si>
  <si>
    <t>Causes/diminishes hunger</t>
  </si>
  <si>
    <t>Memory Blank*</t>
  </si>
  <si>
    <t>Nightmare of Foreboding*</t>
  </si>
  <si>
    <t>Unmask*</t>
  </si>
  <si>
    <t>Dampen Karma</t>
  </si>
  <si>
    <t>Thread Weaving (Illusionist)</t>
  </si>
  <si>
    <t>Low-Light Vision</t>
  </si>
  <si>
    <t>Natural Armor (3), Wound Threshold +3</t>
  </si>
  <si>
    <t>Karma Ritual (Air Sailor)</t>
  </si>
  <si>
    <t>Melee Weapons (D)</t>
  </si>
  <si>
    <t>Wind Catcher (D)</t>
  </si>
  <si>
    <t>Thread Weaving (Air Sailor)</t>
  </si>
  <si>
    <t>Air Dance (D)</t>
  </si>
  <si>
    <t>Endure Cold (D)</t>
  </si>
  <si>
    <t>Karma Ritual (Boatman)</t>
  </si>
  <si>
    <t>Avoid Blow  (D)</t>
  </si>
  <si>
    <t>Pilot Boat (D)</t>
  </si>
  <si>
    <t>Read River (D)</t>
  </si>
  <si>
    <t>Cast Net (D)</t>
  </si>
  <si>
    <t>Thread Weaving (Boatman)</t>
  </si>
  <si>
    <t>10000DE</t>
  </si>
  <si>
    <t>10001DE</t>
  </si>
  <si>
    <t>10011DE</t>
  </si>
  <si>
    <t>Karma Ritual (Windmaster)</t>
  </si>
  <si>
    <t>Dive Attack (D)</t>
  </si>
  <si>
    <t>Thread Weaving (Windmaster)</t>
  </si>
  <si>
    <t>Maneuver (D)</t>
  </si>
  <si>
    <t>Armor Bypass (D)</t>
  </si>
  <si>
    <t>00010S</t>
  </si>
  <si>
    <t>10010S</t>
  </si>
  <si>
    <t>10011S</t>
  </si>
  <si>
    <t>11011S</t>
  </si>
  <si>
    <t>11011SD</t>
  </si>
  <si>
    <t>21011SD</t>
  </si>
  <si>
    <t>Karma Ritual (Wind Ranger)</t>
  </si>
  <si>
    <t>Karma Ritual (Windscout)</t>
  </si>
  <si>
    <t>Thread Weaving (Windscout)</t>
  </si>
  <si>
    <t>10000P</t>
  </si>
  <si>
    <t>10010P</t>
  </si>
  <si>
    <t>11010P</t>
  </si>
  <si>
    <t>11011P</t>
  </si>
  <si>
    <t>11111P</t>
  </si>
  <si>
    <t>11131P</t>
  </si>
  <si>
    <t>Woodsman</t>
  </si>
  <si>
    <t>Karma Ritual (Woddsman)</t>
  </si>
  <si>
    <t>Durability (6/5</t>
  </si>
  <si>
    <t>Thread Weaving (Woodsman)</t>
  </si>
  <si>
    <t>00010D</t>
  </si>
  <si>
    <t>10010D</t>
  </si>
  <si>
    <t>11010D</t>
  </si>
  <si>
    <t>Karma Ritual (Liberator)</t>
  </si>
  <si>
    <t>Freedom Search (D)</t>
  </si>
  <si>
    <t>Mind Armor (D)</t>
  </si>
  <si>
    <t>Mind Blade (D)</t>
  </si>
  <si>
    <t>Ritual of Atonement (D)</t>
  </si>
  <si>
    <t>Free Mind (D)</t>
  </si>
  <si>
    <t>Heart of Freedom (D)</t>
  </si>
  <si>
    <t>Shackle Shrug (D)</t>
  </si>
  <si>
    <t>Thread Weaving (Liberator)</t>
  </si>
  <si>
    <t>Freedom Song (D)</t>
  </si>
  <si>
    <t>Shout of Justice (D)</t>
  </si>
  <si>
    <t>10000W</t>
  </si>
  <si>
    <t>10100W</t>
  </si>
  <si>
    <t>11100W</t>
  </si>
  <si>
    <t>B</t>
  </si>
  <si>
    <t>Tests vs. Enemy Social Defense</t>
  </si>
  <si>
    <t>Outcast Warrior</t>
  </si>
  <si>
    <t>Karma Ritual (Outcast Warrior)</t>
  </si>
  <si>
    <t>Thread Weaving (Outcast Warrior)</t>
  </si>
  <si>
    <t>Batttle Bellow</t>
  </si>
  <si>
    <t>00000WS</t>
  </si>
  <si>
    <t>10000WS</t>
  </si>
  <si>
    <t>10001WS</t>
  </si>
  <si>
    <t>10101WS</t>
  </si>
  <si>
    <t>11100WB</t>
  </si>
  <si>
    <t>11110WB</t>
  </si>
  <si>
    <t>11111WBR</t>
  </si>
  <si>
    <t>10100DE</t>
  </si>
  <si>
    <t>10100DECW</t>
  </si>
  <si>
    <t>10101DECWR</t>
  </si>
  <si>
    <t>11102DECWR</t>
  </si>
  <si>
    <t>11122DECWR</t>
  </si>
  <si>
    <t>12222DECWR</t>
  </si>
  <si>
    <t>32222DECWR</t>
  </si>
  <si>
    <t>10000DI</t>
  </si>
  <si>
    <t>10010DI</t>
  </si>
  <si>
    <t>11010DI</t>
  </si>
  <si>
    <t>11011DI</t>
  </si>
  <si>
    <t>11031DI</t>
  </si>
  <si>
    <t>11031DIPS</t>
  </si>
  <si>
    <t>21031DIPS</t>
  </si>
  <si>
    <t>21033DIPSR</t>
  </si>
  <si>
    <t>33033DIPSR</t>
  </si>
  <si>
    <t>43033DIPSR</t>
  </si>
  <si>
    <t>Karma Ritual (Purifier)</t>
  </si>
  <si>
    <t>Body Control (D)</t>
  </si>
  <si>
    <t>Thread Weaving (Purifier)</t>
  </si>
  <si>
    <t>Tiger Spring (D)</t>
  </si>
  <si>
    <t>Focused Strike</t>
  </si>
  <si>
    <t>X</t>
  </si>
  <si>
    <t>any Damage Test</t>
  </si>
  <si>
    <t>00000X</t>
  </si>
  <si>
    <t>10000X</t>
  </si>
  <si>
    <t>10001X</t>
  </si>
  <si>
    <t>11001X</t>
  </si>
  <si>
    <t>11001XR</t>
  </si>
  <si>
    <t>11011XR</t>
  </si>
  <si>
    <t>Traveled Scholar</t>
  </si>
  <si>
    <t>Karma Ritual (Traveled Scholar</t>
  </si>
  <si>
    <t>Read/Write Langauge (D)</t>
  </si>
  <si>
    <t>Item History (D)</t>
  </si>
  <si>
    <t>Thread Weaving (Traveled Scholar)</t>
  </si>
  <si>
    <t>Memorize Image (D)</t>
  </si>
  <si>
    <t>Multi-Tongue (D)</t>
  </si>
  <si>
    <t>00000PH</t>
  </si>
  <si>
    <t>H</t>
  </si>
  <si>
    <t>Item or Weapon History</t>
  </si>
  <si>
    <t>00100PH</t>
  </si>
  <si>
    <t>01100PH</t>
  </si>
  <si>
    <t>01100PHW</t>
  </si>
  <si>
    <t>01101PHW</t>
  </si>
  <si>
    <t>Fast Reading</t>
  </si>
  <si>
    <t>Wnd</t>
  </si>
  <si>
    <t>Anchored Spell (N/W)</t>
  </si>
  <si>
    <t>Anchored Spell (E/I)</t>
  </si>
  <si>
    <t>Creature Remains (Beastmaster)</t>
  </si>
  <si>
    <t>Creature Remains (Scout)</t>
  </si>
  <si>
    <t>Forced Spellcasting (I/W)</t>
  </si>
  <si>
    <t>Forced Spellcasting (E/N)</t>
  </si>
  <si>
    <t>Shadow Hide (Thief)</t>
  </si>
  <si>
    <t>Shadow Hide (Scout)</t>
  </si>
  <si>
    <t>Increased Dispel Difficulty (I/W)</t>
  </si>
  <si>
    <t>Increased Dispel Difficulty (E/N)</t>
  </si>
  <si>
    <t>Maintain Spell Threads (I/W)</t>
  </si>
  <si>
    <t>Maintain Spell Threads (E/N)</t>
  </si>
  <si>
    <t>Spell Stacking (Wizard)</t>
  </si>
  <si>
    <t>Spell Stacking (Illusionist)</t>
  </si>
  <si>
    <t>Spell Stacking (E/N)</t>
  </si>
  <si>
    <t>Armor Beater (Warrior)</t>
  </si>
  <si>
    <t>Armor Beater (Swordmaster)</t>
  </si>
  <si>
    <t>Armor Beater (Sky Raider)</t>
  </si>
  <si>
    <t>Matched Weapons (Swordmaster)</t>
  </si>
  <si>
    <t>Matched Weapons (Air Sailor)</t>
  </si>
  <si>
    <t>Name Spell (Wizard)</t>
  </si>
  <si>
    <t>Name Spell (Illusionist)</t>
  </si>
  <si>
    <t>Name Spell (E/N)</t>
  </si>
  <si>
    <t>Placed Shot (Archer)</t>
  </si>
  <si>
    <t>Placed Shot (Thief)</t>
  </si>
  <si>
    <t>Signature Spells (Wizard)</t>
  </si>
  <si>
    <t>Signature Spells (Illusionist)</t>
  </si>
  <si>
    <t>Signature Spells (E/N)</t>
  </si>
  <si>
    <t>Gaping Wound (Illusionist)</t>
  </si>
  <si>
    <t>Gaping Wound (Nethermancer)</t>
  </si>
  <si>
    <t>Horror Analysis (Scout)</t>
  </si>
  <si>
    <t>Horror Analysis (Beastmaster)</t>
  </si>
  <si>
    <t>+3 armor, +3 vs. heat stroke</t>
  </si>
  <si>
    <t>Air Armor*</t>
  </si>
  <si>
    <t>Moon Glow*</t>
  </si>
  <si>
    <t>Creates light</t>
  </si>
  <si>
    <t>Purify Earth*</t>
  </si>
  <si>
    <t>5+</t>
  </si>
  <si>
    <t>Purifies earth and soil</t>
  </si>
  <si>
    <t>Air Mattress*</t>
  </si>
  <si>
    <t>Creates air cushion</t>
  </si>
  <si>
    <t>10 hours</t>
  </si>
  <si>
    <t>Billowing Cloak*</t>
  </si>
  <si>
    <t>NA/14</t>
  </si>
  <si>
    <t>Shield Willow*</t>
  </si>
  <si>
    <t>Hunter's Sense*</t>
  </si>
  <si>
    <t>+6 shatter, +1 armor/mystic ratings</t>
  </si>
  <si>
    <t>Summmons poisonous creature</t>
  </si>
  <si>
    <t>Small Slayer*</t>
  </si>
  <si>
    <t>Fingers of Wind*</t>
  </si>
  <si>
    <t>Fuel Flame*</t>
  </si>
  <si>
    <t>Grounding*</t>
  </si>
  <si>
    <t>4/12</t>
  </si>
  <si>
    <t>+12 armor against electrical attacks</t>
  </si>
  <si>
    <t>Lightning Bolt*</t>
  </si>
  <si>
    <t>-5 steps</t>
  </si>
  <si>
    <t>Rust*</t>
  </si>
  <si>
    <t>Smoke Cloud*</t>
  </si>
  <si>
    <t>-5 steps to actions</t>
  </si>
  <si>
    <t>Snuff*</t>
  </si>
  <si>
    <t>Detect Elementalist Magic*</t>
  </si>
  <si>
    <t>Astral Sense (Elementalist)*</t>
  </si>
  <si>
    <t>Dispel Elementalist Magic*</t>
  </si>
  <si>
    <t>Sunlight*</t>
  </si>
  <si>
    <t>Creates bright light</t>
  </si>
  <si>
    <t>Thrive*</t>
  </si>
  <si>
    <t>Accelerates plant growth</t>
  </si>
  <si>
    <t>Winds of Deflection*</t>
  </si>
  <si>
    <t>Turns caster into falcon</t>
  </si>
  <si>
    <t>Falcon's Cloak*</t>
  </si>
  <si>
    <t>Fire Whip*</t>
  </si>
  <si>
    <t>3 yds</t>
  </si>
  <si>
    <t>Great Sticky Vines*</t>
  </si>
  <si>
    <t>2/SD</t>
  </si>
  <si>
    <t>Liquid Arrow*</t>
  </si>
  <si>
    <t>Lodestone's Touch*</t>
  </si>
  <si>
    <t>Root Trap*</t>
  </si>
  <si>
    <t>NA/20</t>
  </si>
  <si>
    <t>Shield of Warping*</t>
  </si>
  <si>
    <t>Spirits of Death's Sea*</t>
  </si>
  <si>
    <t>Spear (Element)*</t>
  </si>
  <si>
    <t>Balloons of Mist*</t>
  </si>
  <si>
    <t>Dispel Magic (Elementalist)*</t>
  </si>
  <si>
    <t>Inflame Self*</t>
  </si>
  <si>
    <t>Ironwood*</t>
  </si>
  <si>
    <t>Transforms wood</t>
  </si>
  <si>
    <t>Nutritious Earth*</t>
  </si>
  <si>
    <t>Makes land fertile</t>
  </si>
  <si>
    <t>1 yr + 1 day</t>
  </si>
  <si>
    <t>Resist Poison*</t>
  </si>
  <si>
    <t>+8 steps to resist poison</t>
  </si>
  <si>
    <t>Shattering Stone*</t>
  </si>
  <si>
    <t>Fireweave*</t>
  </si>
  <si>
    <t>Living Wall*</t>
  </si>
  <si>
    <t>12/22</t>
  </si>
  <si>
    <t>Stone Rain*</t>
  </si>
  <si>
    <t>Tree Merge*</t>
  </si>
  <si>
    <t>16/23</t>
  </si>
  <si>
    <t>Beastform*</t>
  </si>
  <si>
    <t>Transforms caster into animal</t>
  </si>
  <si>
    <t>Earth Q'wril*</t>
  </si>
  <si>
    <t>Earth Surfing*</t>
  </si>
  <si>
    <t>10/22</t>
  </si>
  <si>
    <t>Creates earth wave</t>
  </si>
  <si>
    <t>1 hr</t>
  </si>
  <si>
    <t>Engulf (Element)*</t>
  </si>
  <si>
    <t>2+</t>
  </si>
  <si>
    <t>Summons fire hounds</t>
  </si>
  <si>
    <t>Fire Hounds*</t>
  </si>
  <si>
    <t>Flame Darts*</t>
  </si>
  <si>
    <t>13/23</t>
  </si>
  <si>
    <t>Grasping Hand of Earth*</t>
  </si>
  <si>
    <t>Thunderclap*</t>
  </si>
  <si>
    <t>-8 steps, deafness</t>
  </si>
  <si>
    <t>Crushing Hand of Earth*</t>
  </si>
  <si>
    <t>Waterspout*</t>
  </si>
  <si>
    <t>Burning Water*</t>
  </si>
  <si>
    <t>15/25</t>
  </si>
  <si>
    <t>Creats flammable water</t>
  </si>
  <si>
    <t>Cold Embers*</t>
  </si>
  <si>
    <t>18/25</t>
  </si>
  <si>
    <t>Extinguishes open flames</t>
  </si>
  <si>
    <t>16/29</t>
  </si>
  <si>
    <t>Freezes an expanse of water</t>
  </si>
  <si>
    <t>Frozen Harbor*</t>
  </si>
  <si>
    <t>Petrify*</t>
  </si>
  <si>
    <t>19/26</t>
  </si>
  <si>
    <t>Awaken*</t>
  </si>
  <si>
    <t>Astral Sense (Illusionist)*</t>
  </si>
  <si>
    <t>Detect Illusionist Magic*</t>
  </si>
  <si>
    <t>Dispel Illusionist Magic*</t>
  </si>
  <si>
    <t>Bond of Silence*</t>
  </si>
  <si>
    <t>Clothing Gone*</t>
  </si>
  <si>
    <t>Dispel Magic (Illusionist)*</t>
  </si>
  <si>
    <t>Shows most direct entrance/exit</t>
  </si>
  <si>
    <t>Eye of Truth*</t>
  </si>
  <si>
    <t>+10 steps to Perception</t>
  </si>
  <si>
    <t>Flesh Eater*</t>
  </si>
  <si>
    <t>-2 steps to target's actions</t>
  </si>
  <si>
    <t>-4 steps to target's actions</t>
  </si>
  <si>
    <t>Illusion*</t>
  </si>
  <si>
    <t>Creates illusion</t>
  </si>
  <si>
    <t>Switch*</t>
  </si>
  <si>
    <t>Switches appearance of caster and target</t>
  </si>
  <si>
    <t>Astral Shadow*</t>
  </si>
  <si>
    <t>Forseeing*</t>
  </si>
  <si>
    <t>Memory Scribe*</t>
  </si>
  <si>
    <t>Stench*</t>
  </si>
  <si>
    <t>Dream Sight*</t>
  </si>
  <si>
    <t>Drunken Stagger*</t>
  </si>
  <si>
    <t>Step penalty to target's actions</t>
  </si>
  <si>
    <t>5+R days</t>
  </si>
  <si>
    <t>Reversal of Passion*</t>
  </si>
  <si>
    <t>Stampede*</t>
  </si>
  <si>
    <t>Time Flies*</t>
  </si>
  <si>
    <t>10/23</t>
  </si>
  <si>
    <t>Dreamsend*</t>
  </si>
  <si>
    <t>11/24</t>
  </si>
  <si>
    <t>Illusory Spell*</t>
  </si>
  <si>
    <t>14+/24</t>
  </si>
  <si>
    <t>Shadow Spell*</t>
  </si>
  <si>
    <t>Do Unto Others*</t>
  </si>
  <si>
    <t>Astral Spear*</t>
  </si>
  <si>
    <t>Gadfly*</t>
  </si>
  <si>
    <t>-3 steps to target's actions</t>
  </si>
  <si>
    <t>Shadow's Whisper*</t>
  </si>
  <si>
    <t>6/11</t>
  </si>
  <si>
    <t>Spirit Dart*</t>
  </si>
  <si>
    <t>Detect Nethermantic Magic*</t>
  </si>
  <si>
    <t>Arrow of Night*</t>
  </si>
  <si>
    <t>+8 steps to damage test</t>
  </si>
  <si>
    <t>Astral Sense (Nethermancer)*</t>
  </si>
  <si>
    <t>Dark Messenger*</t>
  </si>
  <si>
    <t>Conveys a message</t>
  </si>
  <si>
    <t>Death Trance*</t>
  </si>
  <si>
    <t>7/12</t>
  </si>
  <si>
    <t>Makes subject hibernate</t>
  </si>
  <si>
    <t>Dispel Nethermantic Magic*</t>
  </si>
  <si>
    <t>Preserve*</t>
  </si>
  <si>
    <t>Prevents spoiling and decay</t>
  </si>
  <si>
    <t>Preserve Food*</t>
  </si>
  <si>
    <t>Prevents food from spoiling</t>
  </si>
  <si>
    <t>Shadow Meld*</t>
  </si>
  <si>
    <t>Summon Bone Ghost*</t>
  </si>
  <si>
    <t>Summons a bone spirit</t>
  </si>
  <si>
    <t>Blood Servitor*</t>
  </si>
  <si>
    <t>Creates a blood servitor</t>
  </si>
  <si>
    <t>Dark Spy*</t>
  </si>
  <si>
    <t>Can see through nightflyer''s eyes</t>
  </si>
  <si>
    <t>Friend or Foe*</t>
  </si>
  <si>
    <t>Last Chance*</t>
  </si>
  <si>
    <t>+8 steps to Recovery Test</t>
  </si>
  <si>
    <t>Nightflyer's Cloak*</t>
  </si>
  <si>
    <t>Transforms caster</t>
  </si>
  <si>
    <t>Astral Mount*</t>
  </si>
  <si>
    <t>2 or 4</t>
  </si>
  <si>
    <t>Astral Whisper*</t>
  </si>
  <si>
    <t>Blind*</t>
  </si>
  <si>
    <t>11/15</t>
  </si>
  <si>
    <t>Dispel Magic (Nethermancer)*</t>
  </si>
  <si>
    <t>Incessant Talking*</t>
  </si>
  <si>
    <t>Forces target to babble</t>
  </si>
  <si>
    <t>Sculpt Darkness*</t>
  </si>
  <si>
    <t>+4 steps to stealth</t>
  </si>
  <si>
    <t>4+R min</t>
  </si>
  <si>
    <t>Sense Horror*</t>
  </si>
  <si>
    <t>Shadow Hunter*</t>
  </si>
  <si>
    <t>Summons shadow hunter</t>
  </si>
  <si>
    <t>Spiritual Guidance*</t>
  </si>
  <si>
    <t>Summons spirit guide</t>
  </si>
  <si>
    <t>30 min</t>
  </si>
  <si>
    <t>Star Shower*</t>
  </si>
  <si>
    <t>Tears of the Scourge*</t>
  </si>
  <si>
    <t>Whisper Through the Night*</t>
  </si>
  <si>
    <t>Bone Puppet*</t>
  </si>
  <si>
    <t>Bone Walker*</t>
  </si>
  <si>
    <t>Creates bone walker</t>
  </si>
  <si>
    <t>2+R days</t>
  </si>
  <si>
    <t>Dust to Dust*</t>
  </si>
  <si>
    <t>Wall of Darkness*</t>
  </si>
  <si>
    <t>Astral Beacon*</t>
  </si>
  <si>
    <t>12/23</t>
  </si>
  <si>
    <t>Astral Maw*</t>
  </si>
  <si>
    <t>Banquet of Dis*</t>
  </si>
  <si>
    <t>Eliminates hunger</t>
  </si>
  <si>
    <t>Bone Pudding*</t>
  </si>
  <si>
    <t>Inflicts 6 wounds on target</t>
  </si>
  <si>
    <t>Cold Storage*</t>
  </si>
  <si>
    <t>Preserves organic matter</t>
  </si>
  <si>
    <t>R month</t>
  </si>
  <si>
    <t>Damage Shift*</t>
  </si>
  <si>
    <t>Allows damage shift</t>
  </si>
  <si>
    <t>Marathon Run*</t>
  </si>
  <si>
    <t>Forces target to flee</t>
  </si>
  <si>
    <t>Spirit Bolt*</t>
  </si>
  <si>
    <t>Steal Strength*</t>
  </si>
  <si>
    <t>Step Through Shadow*</t>
  </si>
  <si>
    <t>12/24</t>
  </si>
  <si>
    <t>Creates astral passage</t>
  </si>
  <si>
    <t>Globe of Silence*</t>
  </si>
  <si>
    <t>2+R min</t>
  </si>
  <si>
    <t>14/17</t>
  </si>
  <si>
    <t>Netherblade*</t>
  </si>
  <si>
    <t>Visit Death*</t>
  </si>
  <si>
    <t>Wall of Bones*</t>
  </si>
  <si>
    <t>Creates a wall of bones</t>
  </si>
  <si>
    <t>Wither Away*</t>
  </si>
  <si>
    <t>Disrupt Magic*</t>
  </si>
  <si>
    <t>Mystic Vessel*</t>
  </si>
  <si>
    <t>15/23</t>
  </si>
  <si>
    <t>Silent Darkness*</t>
  </si>
  <si>
    <t>Void Wave*</t>
  </si>
  <si>
    <t>Animate Dead*</t>
  </si>
  <si>
    <t>Creates cadaver men</t>
  </si>
  <si>
    <t>5+R day</t>
  </si>
  <si>
    <t>Astral Slice*</t>
  </si>
  <si>
    <t>13/26</t>
  </si>
  <si>
    <t>Soul Trap*</t>
  </si>
  <si>
    <t>Traps soul in dead body</t>
  </si>
  <si>
    <t>Spirit Tempest*</t>
  </si>
  <si>
    <t>Bedazzling Display of Logical Analysis*</t>
  </si>
  <si>
    <t>Charisma+6</t>
  </si>
  <si>
    <t>Silent Converse*</t>
  </si>
  <si>
    <t>Triangulate*</t>
  </si>
  <si>
    <t>Seal*</t>
  </si>
  <si>
    <t>Aura Strike*</t>
  </si>
  <si>
    <t>Catwalk*</t>
  </si>
  <si>
    <t>+6 steps to climbing</t>
  </si>
  <si>
    <t>False Aura*</t>
  </si>
  <si>
    <t>Healing Sleep*</t>
  </si>
  <si>
    <t>Doubles Recovery Tests, +4 steps</t>
  </si>
  <si>
    <t>8 hrs</t>
  </si>
  <si>
    <t>Identify Spell*</t>
  </si>
  <si>
    <t>NA/12</t>
  </si>
  <si>
    <t>Water Wings*</t>
  </si>
  <si>
    <t>Waterproofs windling wings</t>
  </si>
  <si>
    <t>R hrs</t>
  </si>
  <si>
    <t>Wizard Mark*</t>
  </si>
  <si>
    <t>Binding Threads*</t>
  </si>
  <si>
    <t>Buoyancy*</t>
  </si>
  <si>
    <t>+2 step bonus to swimming tests</t>
  </si>
  <si>
    <t>Hair Frenzy*</t>
  </si>
  <si>
    <t>-2 step penalty to target's actions</t>
  </si>
  <si>
    <t>Icy Fingers*</t>
  </si>
  <si>
    <t>Reduces fire damage</t>
  </si>
  <si>
    <t>Identify Magic*</t>
  </si>
  <si>
    <t>Juggler's Touch*</t>
  </si>
  <si>
    <t>Karmic Connection*</t>
  </si>
  <si>
    <t>Wizard's Cloak*</t>
  </si>
  <si>
    <t>Giant Size*</t>
  </si>
  <si>
    <t>+5 steps Strength and Toughness</t>
  </si>
  <si>
    <t>Heat Metal*</t>
  </si>
  <si>
    <t>Mystic Shock*</t>
  </si>
  <si>
    <t>Sanctuary*</t>
  </si>
  <si>
    <t>Study Thread*</t>
  </si>
  <si>
    <t>Blood Lost*</t>
  </si>
  <si>
    <t>Target cannot heal wounds</t>
  </si>
  <si>
    <t>1+R days</t>
  </si>
  <si>
    <t>Loan Spell*</t>
  </si>
  <si>
    <t>Loans spell</t>
  </si>
  <si>
    <t>Mental Library*</t>
  </si>
  <si>
    <t>+10 ranks to Book Memory</t>
  </si>
  <si>
    <t>Multi-Mind Dagger*</t>
  </si>
  <si>
    <t>9/22</t>
  </si>
  <si>
    <t>Spellstore*</t>
  </si>
  <si>
    <t>Astral Gift*</t>
  </si>
  <si>
    <t>Gives target astral-sensitive sight</t>
  </si>
  <si>
    <t>Dislodge Spell*</t>
  </si>
  <si>
    <t>Liquid Eyes*</t>
  </si>
  <si>
    <t>Mystic Net*</t>
  </si>
  <si>
    <t>Delivers a message</t>
  </si>
  <si>
    <t>Catch Spell*</t>
  </si>
  <si>
    <t>Peace Bond*</t>
  </si>
  <si>
    <t>Spell Snatcher*</t>
  </si>
  <si>
    <t>14/24</t>
  </si>
  <si>
    <t>Channel Raw Magic*</t>
  </si>
  <si>
    <t>12/25</t>
  </si>
  <si>
    <t>Channels astral ennergy through target</t>
  </si>
  <si>
    <t>3 rnd</t>
  </si>
  <si>
    <t>Glowing Swarm*</t>
  </si>
  <si>
    <t>Creates a swarm of glowing insects</t>
  </si>
  <si>
    <t>Wipe Matrices*</t>
  </si>
  <si>
    <t>Draw and Quarter*</t>
  </si>
  <si>
    <t>16/26</t>
  </si>
  <si>
    <t>Spell Fusion*</t>
  </si>
  <si>
    <t>Adventurer's Kit w/Tent</t>
  </si>
  <si>
    <t>Backpack</t>
  </si>
  <si>
    <t>Bedroll</t>
  </si>
  <si>
    <t>Blanket</t>
  </si>
  <si>
    <t>Chalk (5-piece box)</t>
  </si>
  <si>
    <t>Fishhook</t>
  </si>
  <si>
    <t>Fishnet (5 sq. ft.)</t>
  </si>
  <si>
    <t>Healer Kit</t>
  </si>
  <si>
    <t>Iron Pot</t>
  </si>
  <si>
    <t>Lantern, Hooded</t>
  </si>
  <si>
    <t>Lantern, Bull's Eye</t>
  </si>
  <si>
    <t>Musical instrument, Whistle</t>
  </si>
  <si>
    <t>Musical instrument, Flute</t>
  </si>
  <si>
    <t>Musical instrument, Lute</t>
  </si>
  <si>
    <t>Musical instrument, Horn</t>
  </si>
  <si>
    <t>Oil flask</t>
  </si>
  <si>
    <t>Paper</t>
  </si>
  <si>
    <t>Piton</t>
  </si>
  <si>
    <t>Sack, Large</t>
  </si>
  <si>
    <t>Sack, Small</t>
  </si>
  <si>
    <t>Torch</t>
  </si>
  <si>
    <t>Whetstone</t>
  </si>
  <si>
    <t>Waterskin</t>
  </si>
  <si>
    <t>Wineskin</t>
  </si>
  <si>
    <t>Candle</t>
  </si>
  <si>
    <t>MAGICAL EQUIPMENT</t>
  </si>
  <si>
    <t>ADVENTURING EQUIPMENT</t>
  </si>
  <si>
    <t>Kelix's Poultice</t>
  </si>
  <si>
    <t>Kelia's Antidote</t>
  </si>
  <si>
    <t>Str</t>
  </si>
  <si>
    <t>Notes/Source</t>
  </si>
  <si>
    <t>Worn</t>
  </si>
  <si>
    <t>Musical instrument, Drum</t>
  </si>
  <si>
    <t>MISCELLANEOUS EQUIPMENT</t>
  </si>
  <si>
    <t>Qty</t>
  </si>
  <si>
    <t>Human</t>
  </si>
  <si>
    <t>Swordmaster</t>
  </si>
  <si>
    <t>Sky Raider</t>
  </si>
  <si>
    <t>Thief</t>
  </si>
  <si>
    <t>Base</t>
  </si>
  <si>
    <t>Cost</t>
  </si>
  <si>
    <t>Racial</t>
  </si>
  <si>
    <t>Value</t>
  </si>
  <si>
    <t>Step</t>
  </si>
  <si>
    <t>Dice</t>
  </si>
  <si>
    <t>D</t>
  </si>
  <si>
    <t>S</t>
  </si>
  <si>
    <t>T</t>
  </si>
  <si>
    <t>P</t>
  </si>
  <si>
    <t>W</t>
  </si>
  <si>
    <t>C</t>
  </si>
  <si>
    <t>STRENGTH</t>
  </si>
  <si>
    <t>DEFENSE</t>
  </si>
  <si>
    <t>ARMOR</t>
  </si>
  <si>
    <t>KARMA</t>
  </si>
  <si>
    <t>INITIATIVE</t>
  </si>
  <si>
    <t>Physical</t>
  </si>
  <si>
    <t>Mystic</t>
  </si>
  <si>
    <t>Weight</t>
  </si>
  <si>
    <t>Padded Leather</t>
  </si>
  <si>
    <t>WEAPONS</t>
  </si>
  <si>
    <t>Range</t>
  </si>
  <si>
    <t>Size</t>
  </si>
  <si>
    <t>Windling Bow</t>
  </si>
  <si>
    <t>d10</t>
  </si>
  <si>
    <t>25/80/100</t>
  </si>
  <si>
    <t>Blowgun</t>
  </si>
  <si>
    <t>d4-2</t>
  </si>
  <si>
    <t>2 / 4 / 6</t>
  </si>
  <si>
    <t>Windling Net</t>
  </si>
  <si>
    <t>-</t>
  </si>
  <si>
    <t>Knife</t>
  </si>
  <si>
    <t>d6</t>
  </si>
  <si>
    <t>TALENTS</t>
  </si>
  <si>
    <t>Rank</t>
  </si>
  <si>
    <t>Attribute</t>
  </si>
  <si>
    <t>Action Dice</t>
  </si>
  <si>
    <t>Notes</t>
  </si>
  <si>
    <t>Add</t>
  </si>
  <si>
    <t>d8+d6</t>
  </si>
  <si>
    <t>d10+d6</t>
  </si>
  <si>
    <t>d10+d8</t>
  </si>
  <si>
    <t>2d6</t>
  </si>
  <si>
    <t>DAMAGE</t>
  </si>
  <si>
    <t>Toughness</t>
  </si>
  <si>
    <t>Durability</t>
  </si>
  <si>
    <t>Total</t>
  </si>
  <si>
    <t>Wgt</t>
  </si>
  <si>
    <t>MAGICAL TREASURE</t>
  </si>
  <si>
    <t>VALUABLES</t>
  </si>
  <si>
    <t>MISCELLANEOUS NOTES</t>
  </si>
  <si>
    <t>LEGEND POINTS</t>
  </si>
  <si>
    <t>Total Earned:</t>
  </si>
  <si>
    <t>Total Spent:</t>
  </si>
  <si>
    <t>Current:</t>
  </si>
  <si>
    <t>Date</t>
  </si>
  <si>
    <t>Description of events</t>
  </si>
  <si>
    <t>Amount</t>
  </si>
  <si>
    <t>Thread Weaving:</t>
  </si>
  <si>
    <t>Spellcasting:</t>
  </si>
  <si>
    <t>Willforce:</t>
  </si>
  <si>
    <t>Spell</t>
  </si>
  <si>
    <t>Circle</t>
  </si>
  <si>
    <t>Threads</t>
  </si>
  <si>
    <t>Duration</t>
  </si>
  <si>
    <t>Effect</t>
  </si>
  <si>
    <t>Dispel Magic</t>
  </si>
  <si>
    <t>6/13</t>
  </si>
  <si>
    <t>Ignite</t>
  </si>
  <si>
    <t>Armor</t>
  </si>
  <si>
    <t>Blood</t>
  </si>
  <si>
    <t>Rating</t>
  </si>
  <si>
    <t>Blood Pebble</t>
  </si>
  <si>
    <t>Chain Mail</t>
  </si>
  <si>
    <t>Crystal Plate</t>
  </si>
  <si>
    <t>Crystal Ringlet</t>
  </si>
  <si>
    <t>Fernweave</t>
  </si>
  <si>
    <t>Hardened Leather</t>
  </si>
  <si>
    <t>Hide Armor</t>
  </si>
  <si>
    <t>Leather</t>
  </si>
  <si>
    <t>Living Crystal</t>
  </si>
  <si>
    <t>Obsidiman Skin</t>
  </si>
  <si>
    <t>Padded Cloth</t>
  </si>
  <si>
    <t>Plate Mail</t>
  </si>
  <si>
    <t>Ring Mail</t>
  </si>
  <si>
    <t>Body Shield</t>
  </si>
  <si>
    <t>Buckler</t>
  </si>
  <si>
    <t>Crystal Viking Shield</t>
  </si>
  <si>
    <t>Ferndask</t>
  </si>
  <si>
    <t>Footman's Shield</t>
  </si>
  <si>
    <t>Rider's Shield</t>
  </si>
  <si>
    <t>Talent</t>
  </si>
  <si>
    <t>Appearance:</t>
  </si>
  <si>
    <t>DEXTERITY</t>
  </si>
  <si>
    <t>d12</t>
  </si>
  <si>
    <t>d4</t>
  </si>
  <si>
    <t>Max:</t>
  </si>
  <si>
    <t>TOUGHNESS</t>
  </si>
  <si>
    <t>Cost:</t>
  </si>
  <si>
    <t>MOVE</t>
  </si>
  <si>
    <t>PERCEPTION</t>
  </si>
  <si>
    <t>Die:</t>
  </si>
  <si>
    <t>Die</t>
  </si>
  <si>
    <t>Carry:</t>
  </si>
  <si>
    <t>Full:</t>
  </si>
  <si>
    <t>WILLPOWER</t>
  </si>
  <si>
    <t>Lift:</t>
  </si>
  <si>
    <t>Combat:</t>
  </si>
  <si>
    <t>CHARISMA</t>
  </si>
  <si>
    <t>d8</t>
  </si>
  <si>
    <t>+</t>
  </si>
  <si>
    <t>=</t>
  </si>
  <si>
    <t>Social</t>
  </si>
  <si>
    <t>Durab</t>
  </si>
  <si>
    <t>Death Rating:</t>
  </si>
  <si>
    <t>Unconscious Rating:</t>
  </si>
  <si>
    <t>WOUNDS</t>
  </si>
  <si>
    <t>Threshold</t>
  </si>
  <si>
    <t>d20+d12</t>
  </si>
  <si>
    <t>d20+2d6</t>
  </si>
  <si>
    <t>d20+d8+d6</t>
  </si>
  <si>
    <t>d20+d10+d6</t>
  </si>
  <si>
    <t>d20+d10+d8</t>
  </si>
  <si>
    <t>d20+2d10</t>
  </si>
  <si>
    <t>d20+d12+d10</t>
  </si>
  <si>
    <t>2d10</t>
  </si>
  <si>
    <t>d20+d10+d8+d4</t>
  </si>
  <si>
    <t>d12+d10</t>
  </si>
  <si>
    <t>d20+d10+d8+d6</t>
  </si>
  <si>
    <t>d20+d4</t>
  </si>
  <si>
    <t>d20+d10+2d8</t>
  </si>
  <si>
    <t>d20+d6</t>
  </si>
  <si>
    <t>d20+2d10+d8</t>
  </si>
  <si>
    <t>d20+d8</t>
  </si>
  <si>
    <t>d20+d12+d10+d8</t>
  </si>
  <si>
    <t>d20+d10</t>
  </si>
  <si>
    <t>d20+d10+d8+2d6</t>
  </si>
  <si>
    <t>PROTECTION</t>
  </si>
  <si>
    <t>Init</t>
  </si>
  <si>
    <t>SKILLS</t>
  </si>
  <si>
    <t>Attrib</t>
  </si>
  <si>
    <t>BLOOD MAGIC</t>
  </si>
  <si>
    <t>Dam</t>
  </si>
  <si>
    <t>KNACKS</t>
  </si>
  <si>
    <t>EQUIPMENT</t>
  </si>
  <si>
    <t>Unspent:</t>
  </si>
  <si>
    <t>Legendary Status:</t>
  </si>
  <si>
    <t>MONEY</t>
  </si>
  <si>
    <t>Silver</t>
  </si>
  <si>
    <t>Gold</t>
  </si>
  <si>
    <t>LOOT</t>
  </si>
  <si>
    <t>THREADS</t>
  </si>
  <si>
    <t>Rk</t>
  </si>
  <si>
    <t>EARNED LEGEND POINTS</t>
  </si>
  <si>
    <t>SPENT LEGEND POINTS</t>
  </si>
  <si>
    <t>CASTING</t>
  </si>
  <si>
    <t>Matrix</t>
  </si>
  <si>
    <t>SPELLS</t>
  </si>
  <si>
    <t>Difficulty</t>
  </si>
  <si>
    <t>Casting Description and other notes</t>
  </si>
  <si>
    <t>1st</t>
  </si>
  <si>
    <t>d20+d12+2d10+d8</t>
  </si>
  <si>
    <t>Attribute Table</t>
  </si>
  <si>
    <t>Movement</t>
  </si>
  <si>
    <t>Capacity</t>
  </si>
  <si>
    <t>Death</t>
  </si>
  <si>
    <t>Uncon.</t>
  </si>
  <si>
    <t>Wound</t>
  </si>
  <si>
    <t>Recovery</t>
  </si>
  <si>
    <t>Action Dice Table</t>
  </si>
  <si>
    <t>Racial Statistical Modifiers</t>
  </si>
  <si>
    <t>Talent Improvement Cost</t>
  </si>
  <si>
    <t>Defense</t>
  </si>
  <si>
    <t>Full</t>
  </si>
  <si>
    <t>Combat</t>
  </si>
  <si>
    <t>Lift</t>
  </si>
  <si>
    <t>Carry</t>
  </si>
  <si>
    <t>Tests</t>
  </si>
  <si>
    <t>Races</t>
  </si>
  <si>
    <t>Dexterity</t>
  </si>
  <si>
    <t>Strength</t>
  </si>
  <si>
    <t>Perception</t>
  </si>
  <si>
    <t>Willpower</t>
  </si>
  <si>
    <t>Charisma</t>
  </si>
  <si>
    <t>Points</t>
  </si>
  <si>
    <t>Level</t>
  </si>
  <si>
    <t>1-4</t>
  </si>
  <si>
    <t>5-8</t>
  </si>
  <si>
    <t>9-12</t>
  </si>
  <si>
    <t>13-15</t>
  </si>
  <si>
    <t>1/2</t>
  </si>
  <si>
    <t>Dwarf</t>
  </si>
  <si>
    <t>Elf</t>
  </si>
  <si>
    <t>d4-1</t>
  </si>
  <si>
    <t>Obsidiman</t>
  </si>
  <si>
    <t>Ork</t>
  </si>
  <si>
    <t>T'skrang</t>
  </si>
  <si>
    <t>Troll</t>
  </si>
  <si>
    <t>Windling</t>
  </si>
  <si>
    <t xml:space="preserve"> </t>
  </si>
  <si>
    <t>Race</t>
  </si>
  <si>
    <t>Heat Sight (250 yards)</t>
  </si>
  <si>
    <t>Versatility Talent</t>
  </si>
  <si>
    <t>Astral Sight</t>
  </si>
  <si>
    <t>Flight</t>
  </si>
  <si>
    <t>d20+d10+2d8+d6</t>
  </si>
  <si>
    <t>d20+2d10+d8+d6</t>
  </si>
  <si>
    <t>Racial Karma</t>
  </si>
  <si>
    <t>d20+2d10+2d8</t>
  </si>
  <si>
    <t>Start</t>
  </si>
  <si>
    <t>Max</t>
  </si>
  <si>
    <t>d20+3d10+d8</t>
  </si>
  <si>
    <t>Missile</t>
  </si>
  <si>
    <t>Archer</t>
  </si>
  <si>
    <t>Beastmaster</t>
  </si>
  <si>
    <t>Cavalryman</t>
  </si>
  <si>
    <t>Elementalist</t>
  </si>
  <si>
    <t>Illusionist</t>
  </si>
  <si>
    <t>Nethermancer</t>
  </si>
  <si>
    <t>Scout</t>
  </si>
  <si>
    <t>Troubadour</t>
  </si>
  <si>
    <t>Warrior</t>
  </si>
  <si>
    <t>Weaponsmith</t>
  </si>
  <si>
    <t>Wizard</t>
  </si>
  <si>
    <t>Avoid Blow</t>
  </si>
  <si>
    <t>Animal Bond</t>
  </si>
  <si>
    <t>Air Sailing</t>
  </si>
  <si>
    <t>Climbing</t>
  </si>
  <si>
    <t>Disguise</t>
  </si>
  <si>
    <t>Acrobatic Strike</t>
  </si>
  <si>
    <t>Direction Arrow</t>
  </si>
  <si>
    <t>Claw Shape</t>
  </si>
  <si>
    <t>Emotion Song</t>
  </si>
  <si>
    <t>Air Dance</t>
  </si>
  <si>
    <t>Forge Blade</t>
  </si>
  <si>
    <t>Dominate Beast</t>
  </si>
  <si>
    <t>Charge</t>
  </si>
  <si>
    <t>Battle Shout</t>
  </si>
  <si>
    <t>Manuever</t>
  </si>
  <si>
    <t>Lock Pick</t>
  </si>
  <si>
    <t>First Impression</t>
  </si>
  <si>
    <t>Missile Weapon</t>
  </si>
  <si>
    <t>Spellcasting</t>
  </si>
  <si>
    <t>Fireblood</t>
  </si>
  <si>
    <t>Melee Weapon</t>
  </si>
  <si>
    <t>Mystic Aim</t>
  </si>
  <si>
    <t>Tracking</t>
  </si>
  <si>
    <t>Spell Matrix A</t>
  </si>
  <si>
    <t>Silent Walk</t>
  </si>
  <si>
    <t>Taunt</t>
  </si>
  <si>
    <t>Picking Pockets</t>
  </si>
  <si>
    <t>Unarmed Combat</t>
  </si>
  <si>
    <t>Steel Thought</t>
  </si>
  <si>
    <t>True Shot</t>
  </si>
  <si>
    <t>Trick Riding</t>
  </si>
  <si>
    <t>Spell Matrix B</t>
  </si>
  <si>
    <t>Wound Balance</t>
  </si>
  <si>
    <t>Mimic Voice</t>
  </si>
  <si>
    <t>Wood Skin</t>
  </si>
  <si>
    <t>Weapon History</t>
  </si>
  <si>
    <t>Surprise Strike</t>
  </si>
  <si>
    <t>2nd</t>
  </si>
  <si>
    <t>Sprint</t>
  </si>
  <si>
    <t>Animal Training</t>
  </si>
  <si>
    <t>Blood Share</t>
  </si>
  <si>
    <t>Fire Heal</t>
  </si>
  <si>
    <t>Disguise Self</t>
  </si>
  <si>
    <t>Great Leap</t>
  </si>
  <si>
    <t>Riposte</t>
  </si>
  <si>
    <t>Lock Sense</t>
  </si>
  <si>
    <t>Item History</t>
  </si>
  <si>
    <t>Anticipate Blow</t>
  </si>
  <si>
    <t>Haggle</t>
  </si>
  <si>
    <t>Evidence Analysis</t>
  </si>
  <si>
    <t>Throwing Weapon</t>
  </si>
  <si>
    <t>Creature Analysis</t>
  </si>
  <si>
    <t>Empathic Command</t>
  </si>
  <si>
    <t>Spell Matrix C</t>
  </si>
  <si>
    <t>Frighten</t>
  </si>
  <si>
    <t>Shield Charge</t>
  </si>
  <si>
    <t>Speak Language</t>
  </si>
  <si>
    <t>3rd</t>
  </si>
  <si>
    <t>Flame Arrow</t>
  </si>
  <si>
    <t>Borrow Sense</t>
  </si>
  <si>
    <t>Spirit Mount</t>
  </si>
  <si>
    <t>Air Speaking</t>
  </si>
  <si>
    <t>Dead Fall</t>
  </si>
  <si>
    <t>Swift Kick</t>
  </si>
  <si>
    <t>Heartening Laugh</t>
  </si>
  <si>
    <t>Empathic Sense</t>
  </si>
  <si>
    <t>Abate Curse</t>
  </si>
  <si>
    <t>Book Memory</t>
  </si>
  <si>
    <t>Cat's Paw</t>
  </si>
  <si>
    <t>Wheeling Attack</t>
  </si>
  <si>
    <t>Elemental Tongues</t>
  </si>
  <si>
    <t>Wind Catcher</t>
  </si>
  <si>
    <t>Fence</t>
  </si>
  <si>
    <t>Tiger Spring</t>
  </si>
  <si>
    <t>Detect Weapon</t>
  </si>
  <si>
    <t>Book Recall</t>
  </si>
  <si>
    <t>4th</t>
  </si>
  <si>
    <t>Resist Taunt</t>
  </si>
  <si>
    <t>Elemental Hold</t>
  </si>
  <si>
    <t>False Sight</t>
  </si>
  <si>
    <t>Spell Matrix D</t>
  </si>
  <si>
    <t>Down Strike</t>
  </si>
  <si>
    <t>Arcane Mutterings</t>
  </si>
  <si>
    <t>Willforce</t>
  </si>
  <si>
    <t>Trap Initiative</t>
  </si>
  <si>
    <t>5th</t>
  </si>
  <si>
    <t>Heal Animal Servant</t>
  </si>
  <si>
    <t>Sure Mount</t>
  </si>
  <si>
    <t>Cold Purify</t>
  </si>
  <si>
    <t>Animal Possession</t>
  </si>
  <si>
    <t>Battle Bellow</t>
  </si>
  <si>
    <t>Second Weapon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</si>
</sst>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dd/mm/yyyy"/>
    <numFmt numFmtId="191" formatCode="m/d/yyyy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sz val="48"/>
      <name val="Fraktur BT"/>
      <family val="0"/>
    </font>
    <font>
      <b/>
      <sz val="6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  <font>
      <sz val="10"/>
      <name val="Arial"/>
      <family val="0"/>
    </font>
    <font>
      <sz val="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"/>
      <sz val="10"/>
      <name val="Times New Roman"/>
      <family val="1"/>
    </font>
    <font>
      <sz val="48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2" borderId="14" xfId="0" applyFont="1" applyFill="1" applyBorder="1" applyAlignment="1">
      <alignment horizontal="centerContinuous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4" fillId="2" borderId="11" xfId="0" applyFont="1" applyFill="1" applyBorder="1" applyAlignment="1">
      <alignment horizontal="centerContinuous" vertical="center"/>
    </xf>
    <xf numFmtId="0" fontId="0" fillId="0" borderId="19" xfId="0" applyFont="1" applyBorder="1" applyAlignment="1">
      <alignment vertical="center"/>
    </xf>
    <xf numFmtId="0" fontId="1" fillId="2" borderId="20" xfId="0" applyFont="1" applyFill="1" applyBorder="1" applyAlignment="1">
      <alignment horizontal="centerContinuous" vertical="center"/>
    </xf>
    <xf numFmtId="0" fontId="1" fillId="2" borderId="2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6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 quotePrefix="1">
      <alignment horizontal="center"/>
    </xf>
    <xf numFmtId="16" fontId="0" fillId="0" borderId="28" xfId="0" applyNumberFormat="1" applyFont="1" applyBorder="1" applyAlignment="1" quotePrefix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24" xfId="0" applyFon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22" xfId="0" applyFont="1" applyBorder="1" applyAlignment="1" quotePrefix="1">
      <alignment horizontal="left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1" fillId="0" borderId="27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29" xfId="0" applyFont="1" applyBorder="1" applyAlignment="1" quotePrefix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1" xfId="0" applyFont="1" applyBorder="1" applyAlignment="1" quotePrefix="1">
      <alignment horizontal="left"/>
    </xf>
    <xf numFmtId="0" fontId="1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9" xfId="23" applyFont="1" applyBorder="1" applyAlignment="1">
      <alignment horizontal="right"/>
      <protection/>
    </xf>
    <xf numFmtId="0" fontId="0" fillId="0" borderId="24" xfId="23" applyFont="1" applyBorder="1" applyAlignment="1">
      <alignment horizontal="center"/>
      <protection/>
    </xf>
    <xf numFmtId="0" fontId="0" fillId="0" borderId="25" xfId="23" applyFont="1" applyBorder="1" applyAlignment="1">
      <alignment horizontal="center"/>
      <protection/>
    </xf>
    <xf numFmtId="0" fontId="0" fillId="0" borderId="23" xfId="23" applyFont="1" applyBorder="1" applyAlignment="1">
      <alignment horizontal="center"/>
      <protection/>
    </xf>
    <xf numFmtId="0" fontId="0" fillId="0" borderId="29" xfId="23" applyFont="1" applyBorder="1">
      <alignment/>
      <protection/>
    </xf>
    <xf numFmtId="0" fontId="1" fillId="0" borderId="27" xfId="23" applyFont="1" applyBorder="1" applyAlignment="1">
      <alignment horizontal="center"/>
      <protection/>
    </xf>
    <xf numFmtId="0" fontId="0" fillId="0" borderId="31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 applyAlignment="1" quotePrefix="1">
      <alignment horizontal="center"/>
      <protection/>
    </xf>
    <xf numFmtId="0" fontId="0" fillId="0" borderId="25" xfId="21" applyFont="1" applyBorder="1">
      <alignment/>
      <protection/>
    </xf>
    <xf numFmtId="0" fontId="0" fillId="0" borderId="31" xfId="21" applyFont="1" applyBorder="1" applyAlignment="1" quotePrefix="1">
      <alignment horizontal="left"/>
      <protection/>
    </xf>
    <xf numFmtId="0" fontId="0" fillId="0" borderId="19" xfId="21" applyFont="1" applyBorder="1">
      <alignment/>
      <protection/>
    </xf>
    <xf numFmtId="0" fontId="0" fillId="0" borderId="0" xfId="0" applyFont="1" applyAlignment="1">
      <alignment horizontal="right"/>
    </xf>
    <xf numFmtId="0" fontId="0" fillId="0" borderId="25" xfId="22" applyFont="1" applyBorder="1" applyAlignment="1">
      <alignment horizontal="center"/>
      <protection/>
    </xf>
    <xf numFmtId="0" fontId="0" fillId="0" borderId="24" xfId="22" applyFont="1" applyBorder="1" applyAlignment="1">
      <alignment horizontal="center"/>
      <protection/>
    </xf>
    <xf numFmtId="0" fontId="0" fillId="0" borderId="22" xfId="22" applyFont="1" applyBorder="1" applyAlignment="1">
      <alignment horizontal="center"/>
      <protection/>
    </xf>
    <xf numFmtId="0" fontId="1" fillId="0" borderId="30" xfId="22" applyFont="1" applyBorder="1" applyAlignment="1">
      <alignment horizontal="center"/>
      <protection/>
    </xf>
    <xf numFmtId="0" fontId="1" fillId="0" borderId="28" xfId="22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2" borderId="2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34" xfId="0" applyFont="1" applyFill="1" applyBorder="1" applyAlignment="1">
      <alignment horizontal="centerContinuous" vertical="center"/>
    </xf>
    <xf numFmtId="0" fontId="0" fillId="2" borderId="19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8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4" borderId="5" xfId="0" applyFont="1" applyFill="1" applyBorder="1" applyAlignment="1">
      <alignment horizont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22" applyFont="1" applyBorder="1" applyAlignment="1">
      <alignment horizontal="center"/>
      <protection/>
    </xf>
    <xf numFmtId="0" fontId="0" fillId="0" borderId="3" xfId="0" applyFont="1" applyBorder="1" applyAlignment="1" quotePrefix="1">
      <alignment vertical="center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centerContinuous" vertical="center"/>
    </xf>
    <xf numFmtId="0" fontId="0" fillId="2" borderId="1" xfId="0" applyFont="1" applyFill="1" applyBorder="1" applyAlignment="1" quotePrefix="1">
      <alignment horizontal="center"/>
    </xf>
    <xf numFmtId="0" fontId="0" fillId="4" borderId="1" xfId="0" applyFont="1" applyFill="1" applyBorder="1" applyAlignment="1">
      <alignment horizontal="left"/>
    </xf>
    <xf numFmtId="0" fontId="0" fillId="3" borderId="1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1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23" xfId="21" applyFont="1" applyBorder="1">
      <alignment/>
      <protection/>
    </xf>
    <xf numFmtId="0" fontId="1" fillId="0" borderId="19" xfId="21" applyFont="1" applyBorder="1" applyAlignment="1">
      <alignment horizontal="center"/>
      <protection/>
    </xf>
    <xf numFmtId="0" fontId="1" fillId="0" borderId="15" xfId="21" applyFont="1" applyBorder="1" applyAlignment="1">
      <alignment horizontal="center"/>
      <protection/>
    </xf>
    <xf numFmtId="0" fontId="1" fillId="0" borderId="15" xfId="21" applyFont="1" applyBorder="1" applyAlignment="1" quotePrefix="1">
      <alignment horizontal="center"/>
      <protection/>
    </xf>
    <xf numFmtId="0" fontId="1" fillId="0" borderId="23" xfId="21" applyFont="1" applyBorder="1">
      <alignment/>
      <protection/>
    </xf>
    <xf numFmtId="0" fontId="1" fillId="0" borderId="24" xfId="23" applyFont="1" applyBorder="1" applyAlignment="1">
      <alignment horizontal="right"/>
      <protection/>
    </xf>
    <xf numFmtId="0" fontId="1" fillId="0" borderId="22" xfId="23" applyFont="1" applyBorder="1" applyAlignment="1">
      <alignment horizontal="right"/>
      <protection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0" borderId="32" xfId="0" applyFont="1" applyBorder="1" applyAlignment="1" quotePrefix="1">
      <alignment horizontal="left"/>
    </xf>
    <xf numFmtId="0" fontId="0" fillId="2" borderId="36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3" borderId="26" xfId="0" applyFont="1" applyFill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8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right" vertical="center"/>
    </xf>
    <xf numFmtId="0" fontId="0" fillId="0" borderId="16" xfId="0" applyFont="1" applyBorder="1" applyAlignment="1" quotePrefix="1">
      <alignment horizontal="right" vertical="center"/>
    </xf>
    <xf numFmtId="0" fontId="0" fillId="0" borderId="0" xfId="0" applyFont="1" applyAlignment="1" quotePrefix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34" xfId="0" applyFont="1" applyFill="1" applyBorder="1" applyAlignment="1">
      <alignment horizontal="centerContinuous" vertical="center"/>
    </xf>
    <xf numFmtId="0" fontId="0" fillId="0" borderId="0" xfId="0" applyFont="1" applyAlignment="1" quotePrefix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2" borderId="1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6" xfId="0" applyFont="1" applyBorder="1" applyAlignment="1" quotePrefix="1">
      <alignment horizontal="left" vertical="center"/>
    </xf>
    <xf numFmtId="0" fontId="0" fillId="3" borderId="5" xfId="0" applyFont="1" applyFill="1" applyBorder="1" applyAlignment="1">
      <alignment horizontal="center"/>
    </xf>
    <xf numFmtId="0" fontId="0" fillId="0" borderId="6" xfId="0" applyFont="1" applyBorder="1" applyAlignment="1" quotePrefix="1">
      <alignment horizontal="right" vertical="center"/>
    </xf>
    <xf numFmtId="0" fontId="4" fillId="2" borderId="11" xfId="0" applyFont="1" applyFill="1" applyBorder="1" applyAlignment="1">
      <alignment horizontal="left" vertical="center"/>
    </xf>
    <xf numFmtId="0" fontId="0" fillId="4" borderId="2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2" xfId="0" applyFont="1" applyFill="1" applyBorder="1" applyAlignment="1" quotePrefix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3" borderId="34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26" xfId="0" applyFont="1" applyBorder="1" applyAlignment="1">
      <alignment/>
    </xf>
    <xf numFmtId="0" fontId="0" fillId="4" borderId="3" xfId="0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22" xfId="0" applyBorder="1" applyAlignment="1" quotePrefix="1">
      <alignment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" fillId="0" borderId="30" xfId="23" applyFont="1" applyBorder="1" applyAlignment="1">
      <alignment horizontal="right"/>
      <protection/>
    </xf>
    <xf numFmtId="0" fontId="0" fillId="0" borderId="24" xfId="0" applyBorder="1" applyAlignment="1" quotePrefix="1">
      <alignment horizontal="left"/>
    </xf>
    <xf numFmtId="0" fontId="0" fillId="0" borderId="24" xfId="23" applyFont="1" applyBorder="1" applyAlignment="1" quotePrefix="1">
      <alignment horizontal="left"/>
      <protection/>
    </xf>
    <xf numFmtId="0" fontId="0" fillId="0" borderId="24" xfId="0" applyFont="1" applyBorder="1" applyAlignment="1" quotePrefix="1">
      <alignment horizontal="left"/>
    </xf>
    <xf numFmtId="0" fontId="0" fillId="0" borderId="22" xfId="0" applyFont="1" applyBorder="1" applyAlignment="1" quotePrefix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left"/>
    </xf>
    <xf numFmtId="0" fontId="0" fillId="3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left"/>
    </xf>
    <xf numFmtId="0" fontId="0" fillId="3" borderId="35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right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3" borderId="3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17" xfId="0" applyFont="1" applyFill="1" applyBorder="1" applyAlignment="1">
      <alignment/>
    </xf>
    <xf numFmtId="0" fontId="0" fillId="4" borderId="39" xfId="0" applyFont="1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0" fontId="0" fillId="0" borderId="4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0" fillId="2" borderId="35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19" xfId="0" applyFill="1" applyBorder="1" applyAlignment="1">
      <alignment/>
    </xf>
    <xf numFmtId="0" fontId="0" fillId="4" borderId="4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2" borderId="1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21" applyFont="1" applyBorder="1" applyAlignment="1">
      <alignment horizontal="center"/>
      <protection/>
    </xf>
    <xf numFmtId="0" fontId="0" fillId="2" borderId="0" xfId="0" applyFont="1" applyFill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1" fillId="0" borderId="26" xfId="23" applyFont="1" applyBorder="1" applyAlignment="1">
      <alignment/>
      <protection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 quotePrefix="1">
      <alignment/>
    </xf>
    <xf numFmtId="0" fontId="0" fillId="0" borderId="24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 quotePrefix="1">
      <alignment horizontal="left"/>
    </xf>
    <xf numFmtId="49" fontId="0" fillId="0" borderId="24" xfId="0" applyNumberForma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1" fillId="0" borderId="29" xfId="23" applyFont="1" applyBorder="1" applyAlignment="1">
      <alignment horizontal="center"/>
      <protection/>
    </xf>
    <xf numFmtId="0" fontId="0" fillId="4" borderId="1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3" borderId="27" xfId="0" applyFont="1" applyFill="1" applyBorder="1" applyAlignment="1">
      <alignment horizontal="left"/>
    </xf>
    <xf numFmtId="0" fontId="0" fillId="3" borderId="35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0" borderId="22" xfId="0" applyBorder="1" applyAlignment="1" quotePrefix="1">
      <alignment/>
    </xf>
    <xf numFmtId="0" fontId="0" fillId="3" borderId="20" xfId="0" applyFont="1" applyFill="1" applyBorder="1" applyAlignment="1">
      <alignment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2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0" fontId="0" fillId="3" borderId="17" xfId="0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0" fillId="2" borderId="18" xfId="0" applyFill="1" applyBorder="1" applyAlignment="1">
      <alignment/>
    </xf>
    <xf numFmtId="0" fontId="0" fillId="2" borderId="38" xfId="0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2" borderId="38" xfId="0" applyFont="1" applyFill="1" applyBorder="1" applyAlignment="1">
      <alignment/>
    </xf>
    <xf numFmtId="0" fontId="6" fillId="2" borderId="12" xfId="0" applyFont="1" applyFill="1" applyBorder="1" applyAlignment="1">
      <alignment horizontal="right" vertical="center"/>
    </xf>
    <xf numFmtId="0" fontId="1" fillId="3" borderId="3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1" fillId="3" borderId="11" xfId="0" applyFont="1" applyFill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0" fillId="3" borderId="15" xfId="0" applyFont="1" applyFill="1" applyBorder="1" applyAlignment="1">
      <alignment/>
    </xf>
    <xf numFmtId="0" fontId="0" fillId="2" borderId="30" xfId="0" applyFont="1" applyFill="1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3" borderId="38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vertical="top" wrapText="1"/>
    </xf>
    <xf numFmtId="0" fontId="0" fillId="4" borderId="39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0" fillId="4" borderId="9" xfId="0" applyFont="1" applyFill="1" applyBorder="1" applyAlignment="1">
      <alignment vertical="top" wrapText="1"/>
    </xf>
    <xf numFmtId="0" fontId="0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0" borderId="0" xfId="21" applyNumberFormat="1" applyFont="1" applyBorder="1" applyAlignment="1" quotePrefix="1">
      <alignment horizontal="center"/>
      <protection/>
    </xf>
    <xf numFmtId="49" fontId="0" fillId="0" borderId="0" xfId="21" applyNumberFormat="1" applyFont="1" applyBorder="1" applyAlignment="1">
      <alignment horizontal="center"/>
      <protection/>
    </xf>
    <xf numFmtId="49" fontId="1" fillId="0" borderId="15" xfId="21" applyNumberFormat="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49" fontId="0" fillId="0" borderId="15" xfId="21" applyNumberFormat="1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23" applyFont="1" applyBorder="1" applyAlignment="1">
      <alignment horizontal="left"/>
      <protection/>
    </xf>
    <xf numFmtId="0" fontId="0" fillId="0" borderId="0" xfId="23" applyFont="1" applyBorder="1" applyAlignment="1">
      <alignment horizontal="left"/>
      <protection/>
    </xf>
    <xf numFmtId="0" fontId="0" fillId="0" borderId="30" xfId="0" applyFont="1" applyBorder="1" applyAlignment="1">
      <alignment horizontal="left"/>
    </xf>
    <xf numFmtId="0" fontId="0" fillId="0" borderId="22" xfId="0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wrapText="1"/>
    </xf>
    <xf numFmtId="0" fontId="1" fillId="3" borderId="20" xfId="0" applyFont="1" applyFill="1" applyBorder="1" applyAlignment="1">
      <alignment horizontal="left" wrapText="1"/>
    </xf>
    <xf numFmtId="0" fontId="1" fillId="3" borderId="21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1" fillId="0" borderId="31" xfId="21" applyFont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Border="1" applyAlignment="1" quotePrefix="1">
      <alignment horizontal="center"/>
      <protection/>
    </xf>
    <xf numFmtId="49" fontId="1" fillId="0" borderId="0" xfId="21" applyNumberFormat="1" applyFont="1" applyBorder="1" applyAlignment="1">
      <alignment horizontal="center"/>
      <protection/>
    </xf>
    <xf numFmtId="0" fontId="1" fillId="0" borderId="25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5" xfId="21" applyFont="1" applyBorder="1" applyAlignment="1">
      <alignment horizontal="center"/>
      <protection/>
    </xf>
    <xf numFmtId="49" fontId="0" fillId="0" borderId="5" xfId="21" applyNumberFormat="1" applyFont="1" applyBorder="1" applyAlignment="1" quotePrefix="1">
      <alignment horizontal="center"/>
      <protection/>
    </xf>
    <xf numFmtId="0" fontId="0" fillId="0" borderId="5" xfId="21" applyFont="1" applyBorder="1" applyAlignment="1" quotePrefix="1">
      <alignment horizontal="center"/>
      <protection/>
    </xf>
    <xf numFmtId="0" fontId="0" fillId="0" borderId="28" xfId="21" applyFont="1" applyBorder="1">
      <alignment/>
      <protection/>
    </xf>
    <xf numFmtId="0" fontId="0" fillId="0" borderId="35" xfId="21" applyFont="1" applyBorder="1" applyAlignment="1">
      <alignment horizontal="left"/>
      <protection/>
    </xf>
    <xf numFmtId="0" fontId="0" fillId="0" borderId="31" xfId="21" applyFont="1" applyBorder="1" applyAlignment="1">
      <alignment horizontal="left"/>
      <protection/>
    </xf>
    <xf numFmtId="0" fontId="0" fillId="0" borderId="19" xfId="21" applyFont="1" applyBorder="1" applyAlignment="1">
      <alignment horizontal="left"/>
      <protection/>
    </xf>
    <xf numFmtId="0" fontId="0" fillId="0" borderId="0" xfId="21" applyFont="1" applyBorder="1" applyAlignment="1">
      <alignment horizontal="left"/>
      <protection/>
    </xf>
    <xf numFmtId="1" fontId="0" fillId="0" borderId="0" xfId="21" applyNumberFormat="1" applyFont="1" applyBorder="1" applyAlignment="1">
      <alignment horizontal="center"/>
      <protection/>
    </xf>
    <xf numFmtId="49" fontId="0" fillId="0" borderId="5" xfId="21" applyNumberFormat="1" applyFont="1" applyBorder="1" applyAlignment="1">
      <alignment horizontal="center"/>
      <protection/>
    </xf>
    <xf numFmtId="49" fontId="0" fillId="0" borderId="15" xfId="21" applyNumberFormat="1" applyFont="1" applyBorder="1" applyAlignment="1" quotePrefix="1">
      <alignment horizontal="center"/>
      <protection/>
    </xf>
    <xf numFmtId="0" fontId="0" fillId="0" borderId="15" xfId="21" applyFont="1" applyBorder="1" applyAlignment="1" quotePrefix="1">
      <alignment horizontal="center"/>
      <protection/>
    </xf>
    <xf numFmtId="0" fontId="0" fillId="4" borderId="8" xfId="0" applyFont="1" applyFill="1" applyBorder="1" applyAlignment="1">
      <alignment horizontal="left" vertical="top" wrapText="1"/>
    </xf>
    <xf numFmtId="0" fontId="0" fillId="4" borderId="9" xfId="0" applyFont="1" applyFill="1" applyBorder="1" applyAlignment="1">
      <alignment horizontal="left" vertical="top" wrapText="1"/>
    </xf>
    <xf numFmtId="0" fontId="0" fillId="4" borderId="27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4" borderId="39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2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0" fontId="0" fillId="4" borderId="36" xfId="0" applyFont="1" applyFill="1" applyBorder="1" applyAlignment="1">
      <alignment vertical="top" wrapText="1"/>
    </xf>
    <xf numFmtId="0" fontId="0" fillId="2" borderId="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4" borderId="36" xfId="0" applyFont="1" applyFill="1" applyBorder="1" applyAlignment="1">
      <alignment/>
    </xf>
    <xf numFmtId="0" fontId="0" fillId="2" borderId="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3" borderId="34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1" fillId="0" borderId="25" xfId="21" applyFont="1" applyBorder="1" applyAlignment="1">
      <alignment horizontal="left"/>
      <protection/>
    </xf>
    <xf numFmtId="0" fontId="0" fillId="0" borderId="28" xfId="21" applyFont="1" applyBorder="1" applyAlignment="1">
      <alignment horizontal="left"/>
      <protection/>
    </xf>
    <xf numFmtId="0" fontId="0" fillId="0" borderId="25" xfId="21" applyFont="1" applyBorder="1" applyAlignment="1">
      <alignment horizontal="left"/>
      <protection/>
    </xf>
    <xf numFmtId="0" fontId="0" fillId="0" borderId="23" xfId="21" applyFont="1" applyBorder="1" applyAlignment="1">
      <alignment horizontal="left"/>
      <protection/>
    </xf>
    <xf numFmtId="0" fontId="0" fillId="4" borderId="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6" xfId="0" applyFont="1" applyBorder="1" applyAlignment="1" quotePrefix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5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184" fontId="6" fillId="2" borderId="12" xfId="17" applyFont="1" applyFill="1" applyBorder="1" applyAlignment="1">
      <alignment horizontal="center" vertical="center"/>
    </xf>
    <xf numFmtId="184" fontId="6" fillId="2" borderId="34" xfId="17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left" vertical="center"/>
    </xf>
    <xf numFmtId="0" fontId="0" fillId="0" borderId="36" xfId="0" applyFont="1" applyBorder="1" applyAlignment="1" quotePrefix="1">
      <alignment horizontal="left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7" fontId="0" fillId="0" borderId="6" xfId="0" applyNumberFormat="1" applyFont="1" applyBorder="1" applyAlignment="1" quotePrefix="1">
      <alignment horizontal="center" vertical="center"/>
    </xf>
    <xf numFmtId="17" fontId="0" fillId="0" borderId="1" xfId="0" applyNumberFormat="1" applyFont="1" applyBorder="1" applyAlignment="1" quotePrefix="1">
      <alignment horizontal="center" vertical="center"/>
    </xf>
    <xf numFmtId="0" fontId="4" fillId="2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21" applyFont="1" applyBorder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0" fontId="1" fillId="0" borderId="27" xfId="2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pellbooks" xfId="21"/>
    <cellStyle name="Normal_Steptable" xfId="22"/>
    <cellStyle name="Normal_Talents" xfId="23"/>
    <cellStyle name="Percent" xfId="24"/>
    <cellStyle name="Valuta_Spellbook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0</xdr:colOff>
      <xdr:row>4</xdr:row>
      <xdr:rowOff>95250</xdr:rowOff>
    </xdr:to>
    <xdr:sp>
      <xdr:nvSpPr>
        <xdr:cNvPr id="1" name="Tekst 2"/>
        <xdr:cNvSpPr txBox="1">
          <a:spLocks noChangeArrowheads="1"/>
        </xdr:cNvSpPr>
      </xdr:nvSpPr>
      <xdr:spPr>
        <a:xfrm>
          <a:off x="0" y="0"/>
          <a:ext cx="3038475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4800" b="0" i="0" u="none" baseline="0"/>
            <a:t>EarthDawn</a:t>
          </a:r>
        </a:p>
      </xdr:txBody>
    </xdr:sp>
    <xdr:clientData/>
  </xdr:twoCellAnchor>
  <xdr:twoCellAnchor>
    <xdr:from>
      <xdr:col>58</xdr:col>
      <xdr:colOff>0</xdr:colOff>
      <xdr:row>23</xdr:row>
      <xdr:rowOff>0</xdr:rowOff>
    </xdr:from>
    <xdr:to>
      <xdr:col>58</xdr:col>
      <xdr:colOff>0</xdr:colOff>
      <xdr:row>25</xdr:row>
      <xdr:rowOff>0</xdr:rowOff>
    </xdr:to>
    <xdr:sp>
      <xdr:nvSpPr>
        <xdr:cNvPr id="2" name="Tekst 14"/>
        <xdr:cNvSpPr txBox="1">
          <a:spLocks noChangeArrowheads="1"/>
        </xdr:cNvSpPr>
      </xdr:nvSpPr>
      <xdr:spPr>
        <a:xfrm>
          <a:off x="6076950" y="3724275"/>
          <a:ext cx="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37</xdr:col>
      <xdr:colOff>0</xdr:colOff>
      <xdr:row>40</xdr:row>
      <xdr:rowOff>0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3667125" y="4695825"/>
          <a:ext cx="2095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3:
4:
5:
6:
7:
8:
9:
10:
11:
12:
13:
14:
15:
16:
17:</a:t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58</xdr:col>
      <xdr:colOff>0</xdr:colOff>
      <xdr:row>40</xdr:row>
      <xdr:rowOff>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5238750" y="4695825"/>
          <a:ext cx="838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d20+2d10+2d8
d20+3d10+d8
d20+d12+2d10+d8
2d20+d10+d8+d4
2d20+d10+d8+d6
2d20+d10+2d8
2d20+2d10+d8
2d20+d12+d10+d8
2d20+d10+d8+2d6
2d20+d10+2d8+d6
2d20+2d10+d8+d6
2d20+2d10+2d8
2d20+3d10+d8
2d20+d12+2d10+d8
2d20+d12+3d10</a:t>
          </a:r>
        </a:p>
      </xdr:txBody>
    </xdr:sp>
    <xdr:clientData/>
  </xdr:twoCellAnchor>
  <xdr:twoCellAnchor>
    <xdr:from>
      <xdr:col>42</xdr:col>
      <xdr:colOff>0</xdr:colOff>
      <xdr:row>29</xdr:row>
      <xdr:rowOff>0</xdr:rowOff>
    </xdr:from>
    <xdr:to>
      <xdr:col>49</xdr:col>
      <xdr:colOff>0</xdr:colOff>
      <xdr:row>40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4400550" y="4695825"/>
          <a:ext cx="7334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d20+d12
d20+2d6
d20+d8+d6
d20+d10+d6
d20+d10+d8
d20+2d10
d20+d12+d10
d20+d10+d8+d4
d20+d10+d8+d6
d20+d10+2d8
d20+2d10+d8
d20+d12+d10+d8
d20+d10+d8+2d6
d20+d10+2d8+d6
d20+2d10+d8+d6</a:t>
          </a:r>
        </a:p>
      </xdr:txBody>
    </xdr:sp>
    <xdr:clientData/>
  </xdr:twoCellAnchor>
  <xdr:twoCellAnchor>
    <xdr:from>
      <xdr:col>37</xdr:col>
      <xdr:colOff>0</xdr:colOff>
      <xdr:row>29</xdr:row>
      <xdr:rowOff>0</xdr:rowOff>
    </xdr:from>
    <xdr:to>
      <xdr:col>41</xdr:col>
      <xdr:colOff>0</xdr:colOff>
      <xdr:row>40</xdr:row>
      <xdr:rowOff>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3876675" y="4695825"/>
          <a:ext cx="4191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d4
d6
d8
d10
d12
2d6
d8+d6
d10+d6
d10+d8
2d10
d12+d10
d20+d4
d20+d6
d20+d8
d20+d10</a:t>
          </a:r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42</xdr:col>
      <xdr:colOff>0</xdr:colOff>
      <xdr:row>40</xdr:row>
      <xdr:rowOff>0</xdr:rowOff>
    </xdr:to>
    <xdr:sp>
      <xdr:nvSpPr>
        <xdr:cNvPr id="7" name="TextBox 24"/>
        <xdr:cNvSpPr txBox="1">
          <a:spLocks noChangeArrowheads="1"/>
        </xdr:cNvSpPr>
      </xdr:nvSpPr>
      <xdr:spPr>
        <a:xfrm>
          <a:off x="4191000" y="4695825"/>
          <a:ext cx="2095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18:
19:
20:
21:
22:
23:
24:
25:
26:
27:
28:
29:
30:
31:
32:</a:t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50</xdr:col>
      <xdr:colOff>0</xdr:colOff>
      <xdr:row>40</xdr:row>
      <xdr:rowOff>0</xdr:rowOff>
    </xdr:to>
    <xdr:sp>
      <xdr:nvSpPr>
        <xdr:cNvPr id="8" name="TextBox 25"/>
        <xdr:cNvSpPr txBox="1">
          <a:spLocks noChangeArrowheads="1"/>
        </xdr:cNvSpPr>
      </xdr:nvSpPr>
      <xdr:spPr>
        <a:xfrm>
          <a:off x="5029200" y="4695825"/>
          <a:ext cx="2095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33:
34:
35:
36:
37:
38:
39:
40:
41:
42:
43:
44:
45:
46:
47:</a:t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58</xdr:col>
      <xdr:colOff>0</xdr:colOff>
      <xdr:row>53</xdr:row>
      <xdr:rowOff>0</xdr:rowOff>
    </xdr:to>
    <xdr:sp>
      <xdr:nvSpPr>
        <xdr:cNvPr id="9" name="Rectangle 54"/>
        <xdr:cNvSpPr>
          <a:spLocks/>
        </xdr:cNvSpPr>
      </xdr:nvSpPr>
      <xdr:spPr>
        <a:xfrm>
          <a:off x="2828925" y="8420100"/>
          <a:ext cx="32480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>
      <xdr:nvSpPr>
        <xdr:cNvPr id="10" name="Line 55"/>
        <xdr:cNvSpPr>
          <a:spLocks/>
        </xdr:cNvSpPr>
      </xdr:nvSpPr>
      <xdr:spPr>
        <a:xfrm>
          <a:off x="1571625" y="90678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11" name="Line 56"/>
        <xdr:cNvSpPr>
          <a:spLocks/>
        </xdr:cNvSpPr>
      </xdr:nvSpPr>
      <xdr:spPr>
        <a:xfrm>
          <a:off x="1571625" y="9229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0</xdr:rowOff>
    </xdr:from>
    <xdr:to>
      <xdr:col>34</xdr:col>
      <xdr:colOff>0</xdr:colOff>
      <xdr:row>58</xdr:row>
      <xdr:rowOff>0</xdr:rowOff>
    </xdr:to>
    <xdr:sp>
      <xdr:nvSpPr>
        <xdr:cNvPr id="12" name="Line 57"/>
        <xdr:cNvSpPr>
          <a:spLocks/>
        </xdr:cNvSpPr>
      </xdr:nvSpPr>
      <xdr:spPr>
        <a:xfrm>
          <a:off x="1571625" y="939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58</xdr:col>
      <xdr:colOff>0</xdr:colOff>
      <xdr:row>5</xdr:row>
      <xdr:rowOff>0</xdr:rowOff>
    </xdr:to>
    <xdr:sp>
      <xdr:nvSpPr>
        <xdr:cNvPr id="13" name="Line 58"/>
        <xdr:cNvSpPr>
          <a:spLocks/>
        </xdr:cNvSpPr>
      </xdr:nvSpPr>
      <xdr:spPr>
        <a:xfrm>
          <a:off x="2724150" y="809625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0</xdr:colOff>
      <xdr:row>4</xdr:row>
      <xdr:rowOff>0</xdr:rowOff>
    </xdr:to>
    <xdr:sp>
      <xdr:nvSpPr>
        <xdr:cNvPr id="1" name="Tekst 1"/>
        <xdr:cNvSpPr txBox="1">
          <a:spLocks noChangeArrowheads="1"/>
        </xdr:cNvSpPr>
      </xdr:nvSpPr>
      <xdr:spPr>
        <a:xfrm>
          <a:off x="0" y="0"/>
          <a:ext cx="29337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4800" b="0" i="0" u="none" baseline="0"/>
            <a:t>Legend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E499">
      <xdr:nvSpPr>
        <xdr:cNvPr id="1" name="TextBox 100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0f3df00-751a-4092-8928-75efe1667a6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E500">
      <xdr:nvSpPr>
        <xdr:cNvPr id="2" name="TextBox 101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9f026b-ab29-488f-84c5-c74c5082796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E501">
      <xdr:nvSpPr>
        <xdr:cNvPr id="3" name="TextBox 102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93f81b4-0cb7-420e-b23b-3e6d0e4369d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E502">
      <xdr:nvSpPr>
        <xdr:cNvPr id="4" name="TextBox 103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6bb314-0d96-4055-b9d2-94c5a5558f0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E503">
      <xdr:nvSpPr>
        <xdr:cNvPr id="5" name="TextBox 104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85b624e-ea05-4a67-b5b5-e7bd75c0b73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E504">
      <xdr:nvSpPr>
        <xdr:cNvPr id="6" name="TextBox 105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5920a40-c1c8-41e3-a02a-5665c6ef8be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E505">
      <xdr:nvSpPr>
        <xdr:cNvPr id="7" name="TextBox 106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c0dde09-6510-4e04-b1f7-bf8ef3d94a1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E506">
      <xdr:nvSpPr>
        <xdr:cNvPr id="8" name="TextBox 107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f59326a-77b2-4489-907d-92b8e13121f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E507">
      <xdr:nvSpPr>
        <xdr:cNvPr id="9" name="TextBox 108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a4958e1-29f1-4e96-ba63-1b9cd9ccc3a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E508">
      <xdr:nvSpPr>
        <xdr:cNvPr id="10" name="TextBox 109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92bb5ed-f221-4f7e-8eba-3be6071cb65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E509">
      <xdr:nvSpPr>
        <xdr:cNvPr id="11" name="TextBox 110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062f71-d0be-4adb-9d9a-d82c508ccfd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E510">
      <xdr:nvSpPr>
        <xdr:cNvPr id="12" name="TextBox 111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6b44b6-fe3e-49d4-9621-4bd595893e9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E511">
      <xdr:nvSpPr>
        <xdr:cNvPr id="13" name="TextBox 112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b88135-8ae5-454d-9fc6-2ec25e74eec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 textlink="Build!AE512">
      <xdr:nvSpPr>
        <xdr:cNvPr id="14" name="TextBox 113"/>
        <xdr:cNvSpPr txBox="1">
          <a:spLocks noChangeArrowheads="1"/>
        </xdr:cNvSpPr>
      </xdr:nvSpPr>
      <xdr:spPr>
        <a:xfrm>
          <a:off x="4191000" y="30765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bddb3f-7f2d-4c17-b434-ee2c66e9f39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E513">
      <xdr:nvSpPr>
        <xdr:cNvPr id="15" name="TextBox 114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41c77ab-6498-451b-b302-071db581cf1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E514">
      <xdr:nvSpPr>
        <xdr:cNvPr id="16" name="TextBox 115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c829e9d-671f-4395-b82c-100a68811df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E515">
      <xdr:nvSpPr>
        <xdr:cNvPr id="17" name="TextBox 116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62accd0-9a45-41be-b159-567784a3a75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E516">
      <xdr:nvSpPr>
        <xdr:cNvPr id="18" name="TextBox 117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ac3806-975c-4b28-91a7-7d4284454d2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E517">
      <xdr:nvSpPr>
        <xdr:cNvPr id="19" name="TextBox 118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849969-5efa-4bee-a7e2-fb7822d55c2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E518">
      <xdr:nvSpPr>
        <xdr:cNvPr id="20" name="TextBox 119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6d18a66-6a94-49d1-b7ee-edf9b1b8182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E519">
      <xdr:nvSpPr>
        <xdr:cNvPr id="21" name="TextBox 120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e56744-bcef-4815-830a-fa514d2cd4f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E520">
      <xdr:nvSpPr>
        <xdr:cNvPr id="22" name="TextBox 121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168861-a46d-44e2-b3f1-1c0b3c5b75d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E521">
      <xdr:nvSpPr>
        <xdr:cNvPr id="23" name="TextBox 122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49c326c-d72f-4286-a305-909b0cca1c2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E522">
      <xdr:nvSpPr>
        <xdr:cNvPr id="24" name="TextBox 123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419494e-bacd-44b6-80e3-8551a593629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E523">
      <xdr:nvSpPr>
        <xdr:cNvPr id="25" name="TextBox 124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042af7-1ab3-4c65-8f34-d0abc26ed04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E524">
      <xdr:nvSpPr>
        <xdr:cNvPr id="26" name="TextBox 125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5c6214f-ffbf-4047-a92b-e12f51ee7c6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E525">
      <xdr:nvSpPr>
        <xdr:cNvPr id="27" name="TextBox 126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d864d22-f4cb-4490-9c2e-95eca4d62bf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E526">
      <xdr:nvSpPr>
        <xdr:cNvPr id="28" name="TextBox 127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1a0d73-cc95-47d7-ac8d-54bcabb6cf8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E527">
      <xdr:nvSpPr>
        <xdr:cNvPr id="29" name="TextBox 128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810bb2-8e29-4666-a83f-8ee325dd0f7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E528">
      <xdr:nvSpPr>
        <xdr:cNvPr id="30" name="TextBox 129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f3ae983-97c8-4065-aae4-4812be7b938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E529">
      <xdr:nvSpPr>
        <xdr:cNvPr id="31" name="TextBox 130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be0250-73da-4803-982f-0c334fb2cf3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E530">
      <xdr:nvSpPr>
        <xdr:cNvPr id="32" name="TextBox 131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682174-2e4d-41fa-9eab-9a058412365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E531">
      <xdr:nvSpPr>
        <xdr:cNvPr id="33" name="TextBox 132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a374916-b846-4ca5-bacd-8828255cd51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E532">
      <xdr:nvSpPr>
        <xdr:cNvPr id="34" name="TextBox 133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d596b8e-0b46-4c18-b11e-ddfade49671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E533">
      <xdr:nvSpPr>
        <xdr:cNvPr id="35" name="TextBox 134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cba3921-c481-4ef7-a211-8687d275775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E534">
      <xdr:nvSpPr>
        <xdr:cNvPr id="36" name="TextBox 135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1ebcc9d-6fe8-4b57-8ba0-a2590f8f3ae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F499">
      <xdr:nvSpPr>
        <xdr:cNvPr id="1" name="TextBox 224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1c5634e-81a2-465c-bec1-e4188fa8f2a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F500">
      <xdr:nvSpPr>
        <xdr:cNvPr id="2" name="TextBox 225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e29ece3-6aa6-46e9-854d-de6cef9fe93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F501">
      <xdr:nvSpPr>
        <xdr:cNvPr id="3" name="TextBox 226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f10151e-4ce5-4489-91ce-224f4b2bf0a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F502">
      <xdr:nvSpPr>
        <xdr:cNvPr id="4" name="TextBox 227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96bf73-34d8-43ae-bc49-679c3321b2a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F503">
      <xdr:nvSpPr>
        <xdr:cNvPr id="5" name="TextBox 228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850d4b2-0638-4296-8e79-865de7409ac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F504">
      <xdr:nvSpPr>
        <xdr:cNvPr id="6" name="TextBox 229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22bb36-02fd-4bca-b843-89bad861138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F505">
      <xdr:nvSpPr>
        <xdr:cNvPr id="7" name="TextBox 230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40842e8-185a-4ebe-82e3-8cc0e20f894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F506">
      <xdr:nvSpPr>
        <xdr:cNvPr id="8" name="TextBox 231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8f4e04-718c-42ea-9a11-147367390d5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F507">
      <xdr:nvSpPr>
        <xdr:cNvPr id="9" name="TextBox 232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e9ea50e-4dde-43fd-bfd1-614adee457e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F508">
      <xdr:nvSpPr>
        <xdr:cNvPr id="10" name="TextBox 233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1ddaf25-29b0-4991-8af7-ed923fdd3c3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F509">
      <xdr:nvSpPr>
        <xdr:cNvPr id="11" name="TextBox 234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828b7b9-9622-48fb-86ab-d56abf2a538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F510">
      <xdr:nvSpPr>
        <xdr:cNvPr id="12" name="TextBox 235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1264f7-7a7a-4a8a-b93d-b1dbad2df94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F511">
      <xdr:nvSpPr>
        <xdr:cNvPr id="13" name="TextBox 236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cd483f-2283-49b7-8824-b85f3450d46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 textlink="Build!AF512">
      <xdr:nvSpPr>
        <xdr:cNvPr id="14" name="TextBox 237"/>
        <xdr:cNvSpPr txBox="1">
          <a:spLocks noChangeArrowheads="1"/>
        </xdr:cNvSpPr>
      </xdr:nvSpPr>
      <xdr:spPr>
        <a:xfrm>
          <a:off x="4191000" y="30765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51d382-7b40-4051-951e-cee477edc43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F513">
      <xdr:nvSpPr>
        <xdr:cNvPr id="15" name="TextBox 238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3c27643-0bed-4d03-892b-f68693bf570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F514">
      <xdr:nvSpPr>
        <xdr:cNvPr id="16" name="TextBox 239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816ec36-f4d0-4d29-a4dc-9ed1c2e794e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F515">
      <xdr:nvSpPr>
        <xdr:cNvPr id="17" name="TextBox 240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7e7b82-0640-4d02-8408-af22d10255b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F516">
      <xdr:nvSpPr>
        <xdr:cNvPr id="18" name="TextBox 241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de415fd-523c-4d73-bb38-03c1972d862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F517">
      <xdr:nvSpPr>
        <xdr:cNvPr id="19" name="TextBox 242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ef8140-f342-4627-b57b-bbc87c547d7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F518">
      <xdr:nvSpPr>
        <xdr:cNvPr id="20" name="TextBox 243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7a9dc1-c3d4-4548-b5ea-67d29e471af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F519">
      <xdr:nvSpPr>
        <xdr:cNvPr id="21" name="TextBox 244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5b88be-6f89-4465-aa15-528b75a9f06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F520">
      <xdr:nvSpPr>
        <xdr:cNvPr id="22" name="TextBox 245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e5f289-472b-448b-a726-e47179006f1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F521">
      <xdr:nvSpPr>
        <xdr:cNvPr id="23" name="TextBox 246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c8ee327-ab8e-4487-a5bf-168f80b3d28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F522">
      <xdr:nvSpPr>
        <xdr:cNvPr id="24" name="TextBox 247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b4ba7b-22cb-4d5c-b40c-a42849de3cb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F523">
      <xdr:nvSpPr>
        <xdr:cNvPr id="25" name="TextBox 248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39844b5-5466-41f0-bc6a-f97eae409a3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F524">
      <xdr:nvSpPr>
        <xdr:cNvPr id="26" name="TextBox 249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a95273-aba1-4816-aa35-69ac4a9d593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F525">
      <xdr:nvSpPr>
        <xdr:cNvPr id="27" name="TextBox 250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7fcb64e-438b-48af-9906-ca1e993a3fb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F526">
      <xdr:nvSpPr>
        <xdr:cNvPr id="28" name="TextBox 251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e802c2-018b-4739-8c46-e5fd6576009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F527">
      <xdr:nvSpPr>
        <xdr:cNvPr id="29" name="TextBox 252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77a8ad-dfcb-4c11-aa6f-8f768d5538e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F528">
      <xdr:nvSpPr>
        <xdr:cNvPr id="30" name="TextBox 253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c527cc-1cea-406c-9db6-9aed360d1ed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F529">
      <xdr:nvSpPr>
        <xdr:cNvPr id="31" name="TextBox 254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bda9b9a-b81a-48e4-975b-57460109ba3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F530">
      <xdr:nvSpPr>
        <xdr:cNvPr id="32" name="TextBox 255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6973d6a-16f1-43ae-a4f7-f95461a0cc7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F531">
      <xdr:nvSpPr>
        <xdr:cNvPr id="33" name="TextBox 256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d48d75-3379-40b8-ab5d-4d1e4dc477d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F532">
      <xdr:nvSpPr>
        <xdr:cNvPr id="34" name="TextBox 257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a1a3fd8-9fee-4a0c-82e6-8b5be7201cb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F533">
      <xdr:nvSpPr>
        <xdr:cNvPr id="35" name="TextBox 258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f95e674-903c-4d02-8500-b040bf11012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F534">
      <xdr:nvSpPr>
        <xdr:cNvPr id="36" name="TextBox 259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1482ee-c60a-424d-b059-7d2728cdb7e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G499">
      <xdr:nvSpPr>
        <xdr:cNvPr id="1" name="TextBox 224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623665-7aab-4cfb-aae9-5a60ea0fcdc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G500">
      <xdr:nvSpPr>
        <xdr:cNvPr id="2" name="TextBox 261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797cc52-b7b2-44c3-a886-de596d8c77b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G501">
      <xdr:nvSpPr>
        <xdr:cNvPr id="3" name="TextBox 262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384fd9-ff80-45c0-94f7-c5eeaec903b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G502">
      <xdr:nvSpPr>
        <xdr:cNvPr id="4" name="TextBox 263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4ebad55-38ef-4cdf-8f9a-45d363372b8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G503">
      <xdr:nvSpPr>
        <xdr:cNvPr id="5" name="TextBox 264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b26f7fc-b75a-4127-b13f-dcc576897a62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G504">
      <xdr:nvSpPr>
        <xdr:cNvPr id="6" name="TextBox 265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39f615-7ce2-4188-b65e-ec6b173c822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G505">
      <xdr:nvSpPr>
        <xdr:cNvPr id="7" name="TextBox 266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c914e91-0b0c-43f4-b4f0-507401b2009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G506">
      <xdr:nvSpPr>
        <xdr:cNvPr id="8" name="TextBox 267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51e2330-5c90-4aac-b347-5db00095e37f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G507">
      <xdr:nvSpPr>
        <xdr:cNvPr id="9" name="TextBox 268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f66d36c-e968-4518-8554-d283dfae62d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G508">
      <xdr:nvSpPr>
        <xdr:cNvPr id="10" name="TextBox 269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b81d21-5395-4ad2-be52-19871e1572d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G509">
      <xdr:nvSpPr>
        <xdr:cNvPr id="11" name="TextBox 270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80a8295-6723-4172-b7a1-a40d5ede5e9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G510">
      <xdr:nvSpPr>
        <xdr:cNvPr id="12" name="TextBox 271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a72d2a2-e863-4edb-87b7-c1ad884a5fc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G511">
      <xdr:nvSpPr>
        <xdr:cNvPr id="13" name="TextBox 272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cb5d53-26ca-4076-b8c1-61f409b7683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 textlink="Build!AG512">
      <xdr:nvSpPr>
        <xdr:cNvPr id="14" name="TextBox 273"/>
        <xdr:cNvSpPr txBox="1">
          <a:spLocks noChangeArrowheads="1"/>
        </xdr:cNvSpPr>
      </xdr:nvSpPr>
      <xdr:spPr>
        <a:xfrm>
          <a:off x="4191000" y="30765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b8b37ba-eebf-433e-8c55-f3c413adfb3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G513">
      <xdr:nvSpPr>
        <xdr:cNvPr id="15" name="TextBox 274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2a2bf0e-a03f-47c0-b0fb-c7aae16e25f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G514">
      <xdr:nvSpPr>
        <xdr:cNvPr id="16" name="TextBox 275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a93bf43-8e3d-4688-b1d2-729ac0a5165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G515">
      <xdr:nvSpPr>
        <xdr:cNvPr id="17" name="TextBox 276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ba5382-5020-4608-bfd2-2ede31c05b7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G516">
      <xdr:nvSpPr>
        <xdr:cNvPr id="18" name="TextBox 277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dd7d59d-552f-4a1f-9d86-807f80bc5c6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G517">
      <xdr:nvSpPr>
        <xdr:cNvPr id="19" name="TextBox 278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86a5f9d-dc27-4599-9d88-2df86aafbd7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G518">
      <xdr:nvSpPr>
        <xdr:cNvPr id="20" name="TextBox 279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07fbe1-971f-48d7-a362-f757f62720d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G519">
      <xdr:nvSpPr>
        <xdr:cNvPr id="21" name="TextBox 280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07e612-168b-47bd-8d9e-5409413040a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G520">
      <xdr:nvSpPr>
        <xdr:cNvPr id="22" name="TextBox 281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8009c0a-4af1-451c-b4b8-5d9f600de7b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G521">
      <xdr:nvSpPr>
        <xdr:cNvPr id="23" name="TextBox 282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42f434-6b62-4da6-bdec-9b8fd5983a2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G522">
      <xdr:nvSpPr>
        <xdr:cNvPr id="24" name="TextBox 283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a0b1a7d-2c08-4715-a24d-a7da589506c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G523">
      <xdr:nvSpPr>
        <xdr:cNvPr id="25" name="TextBox 284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a18083c-cc80-418f-abc2-fe507ffe538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G524">
      <xdr:nvSpPr>
        <xdr:cNvPr id="26" name="TextBox 285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1e1a0a-4b7f-4eda-8ca3-f2aeb4fac74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G525">
      <xdr:nvSpPr>
        <xdr:cNvPr id="27" name="TextBox 286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7723a22-3398-4de0-8e34-7db8a177cf1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G526">
      <xdr:nvSpPr>
        <xdr:cNvPr id="28" name="TextBox 287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54d77f2-3fd4-4270-8627-61ab28139ae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G527">
      <xdr:nvSpPr>
        <xdr:cNvPr id="29" name="TextBox 288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8828bc-b577-42c0-9c51-ff4258214f8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G528">
      <xdr:nvSpPr>
        <xdr:cNvPr id="30" name="TextBox 289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af908b-e509-4902-bd81-64612f5c220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G529">
      <xdr:nvSpPr>
        <xdr:cNvPr id="31" name="TextBox 290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13a4be-0ef8-4596-9ab4-ce6f61a193c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G530">
      <xdr:nvSpPr>
        <xdr:cNvPr id="32" name="TextBox 291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21afb95-b43a-4aca-acd9-c8a4eb1a0f6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G531">
      <xdr:nvSpPr>
        <xdr:cNvPr id="33" name="TextBox 292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d7dc32a-66fb-44ef-b065-710b0f23b44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G532">
      <xdr:nvSpPr>
        <xdr:cNvPr id="34" name="TextBox 293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4cf056-9fe6-4eed-8e52-bdf348f31d8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G533">
      <xdr:nvSpPr>
        <xdr:cNvPr id="35" name="TextBox 294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ae09246-52e0-4756-9b57-615e6d1ebf3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G534">
      <xdr:nvSpPr>
        <xdr:cNvPr id="36" name="TextBox 295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aa1e06-c8f1-4016-a7ce-0812d1b5cde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6</xdr:row>
      <xdr:rowOff>0</xdr:rowOff>
    </xdr:from>
    <xdr:to>
      <xdr:col>53</xdr:col>
      <xdr:colOff>0</xdr:colOff>
      <xdr:row>7</xdr:row>
      <xdr:rowOff>0</xdr:rowOff>
    </xdr:to>
    <xdr:sp textlink="Build!AH499">
      <xdr:nvSpPr>
        <xdr:cNvPr id="1" name="TextBox 72"/>
        <xdr:cNvSpPr txBox="1">
          <a:spLocks noChangeArrowheads="1"/>
        </xdr:cNvSpPr>
      </xdr:nvSpPr>
      <xdr:spPr>
        <a:xfrm>
          <a:off x="4191000" y="9715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749428-8b93-449a-a2fa-d4eccec7735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7</xdr:row>
      <xdr:rowOff>0</xdr:rowOff>
    </xdr:from>
    <xdr:to>
      <xdr:col>53</xdr:col>
      <xdr:colOff>0</xdr:colOff>
      <xdr:row>8</xdr:row>
      <xdr:rowOff>0</xdr:rowOff>
    </xdr:to>
    <xdr:sp textlink="Build!AH500">
      <xdr:nvSpPr>
        <xdr:cNvPr id="2" name="TextBox 73"/>
        <xdr:cNvSpPr txBox="1">
          <a:spLocks noChangeArrowheads="1"/>
        </xdr:cNvSpPr>
      </xdr:nvSpPr>
      <xdr:spPr>
        <a:xfrm>
          <a:off x="4191000" y="11334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e3a43f7-8046-47a6-af18-52bebd13633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8</xdr:row>
      <xdr:rowOff>0</xdr:rowOff>
    </xdr:from>
    <xdr:to>
      <xdr:col>53</xdr:col>
      <xdr:colOff>0</xdr:colOff>
      <xdr:row>9</xdr:row>
      <xdr:rowOff>0</xdr:rowOff>
    </xdr:to>
    <xdr:sp textlink="Build!AH501">
      <xdr:nvSpPr>
        <xdr:cNvPr id="3" name="TextBox 74"/>
        <xdr:cNvSpPr txBox="1">
          <a:spLocks noChangeArrowheads="1"/>
        </xdr:cNvSpPr>
      </xdr:nvSpPr>
      <xdr:spPr>
        <a:xfrm>
          <a:off x="4191000" y="12954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ce6a8a-ad04-429d-be4e-912ddc335d2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9</xdr:row>
      <xdr:rowOff>0</xdr:rowOff>
    </xdr:from>
    <xdr:to>
      <xdr:col>53</xdr:col>
      <xdr:colOff>0</xdr:colOff>
      <xdr:row>10</xdr:row>
      <xdr:rowOff>0</xdr:rowOff>
    </xdr:to>
    <xdr:sp textlink="Build!AH502">
      <xdr:nvSpPr>
        <xdr:cNvPr id="4" name="TextBox 75"/>
        <xdr:cNvSpPr txBox="1">
          <a:spLocks noChangeArrowheads="1"/>
        </xdr:cNvSpPr>
      </xdr:nvSpPr>
      <xdr:spPr>
        <a:xfrm>
          <a:off x="4191000" y="1457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aec306c-1ab5-4df8-b0da-2ee2dc09cf9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10</xdr:row>
      <xdr:rowOff>0</xdr:rowOff>
    </xdr:from>
    <xdr:to>
      <xdr:col>53</xdr:col>
      <xdr:colOff>0</xdr:colOff>
      <xdr:row>11</xdr:row>
      <xdr:rowOff>0</xdr:rowOff>
    </xdr:to>
    <xdr:sp textlink="Build!AH503">
      <xdr:nvSpPr>
        <xdr:cNvPr id="5" name="TextBox 76"/>
        <xdr:cNvSpPr txBox="1">
          <a:spLocks noChangeArrowheads="1"/>
        </xdr:cNvSpPr>
      </xdr:nvSpPr>
      <xdr:spPr>
        <a:xfrm>
          <a:off x="4191000" y="16192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200bb0-af33-43ca-81e2-4e170432897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11</xdr:row>
      <xdr:rowOff>0</xdr:rowOff>
    </xdr:from>
    <xdr:to>
      <xdr:col>53</xdr:col>
      <xdr:colOff>0</xdr:colOff>
      <xdr:row>12</xdr:row>
      <xdr:rowOff>0</xdr:rowOff>
    </xdr:to>
    <xdr:sp textlink="Build!AH504">
      <xdr:nvSpPr>
        <xdr:cNvPr id="6" name="TextBox 77"/>
        <xdr:cNvSpPr txBox="1">
          <a:spLocks noChangeArrowheads="1"/>
        </xdr:cNvSpPr>
      </xdr:nvSpPr>
      <xdr:spPr>
        <a:xfrm>
          <a:off x="4191000" y="17811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5afe99-087c-4339-97aa-7ccdedb1dd5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53</xdr:col>
      <xdr:colOff>0</xdr:colOff>
      <xdr:row>13</xdr:row>
      <xdr:rowOff>0</xdr:rowOff>
    </xdr:to>
    <xdr:sp textlink="Build!AH505">
      <xdr:nvSpPr>
        <xdr:cNvPr id="7" name="TextBox 78"/>
        <xdr:cNvSpPr txBox="1">
          <a:spLocks noChangeArrowheads="1"/>
        </xdr:cNvSpPr>
      </xdr:nvSpPr>
      <xdr:spPr>
        <a:xfrm>
          <a:off x="4191000" y="19431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3eaa06b-2a03-4d11-8df0-862c56927fa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53</xdr:col>
      <xdr:colOff>0</xdr:colOff>
      <xdr:row>14</xdr:row>
      <xdr:rowOff>0</xdr:rowOff>
    </xdr:to>
    <xdr:sp textlink="Build!AH506">
      <xdr:nvSpPr>
        <xdr:cNvPr id="8" name="TextBox 79"/>
        <xdr:cNvSpPr txBox="1">
          <a:spLocks noChangeArrowheads="1"/>
        </xdr:cNvSpPr>
      </xdr:nvSpPr>
      <xdr:spPr>
        <a:xfrm>
          <a:off x="4191000" y="21050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4185cd-2b4b-4689-9e2e-24e57af3be8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14</xdr:row>
      <xdr:rowOff>0</xdr:rowOff>
    </xdr:from>
    <xdr:to>
      <xdr:col>53</xdr:col>
      <xdr:colOff>0</xdr:colOff>
      <xdr:row>15</xdr:row>
      <xdr:rowOff>0</xdr:rowOff>
    </xdr:to>
    <xdr:sp textlink="Build!AH507">
      <xdr:nvSpPr>
        <xdr:cNvPr id="9" name="TextBox 80"/>
        <xdr:cNvSpPr txBox="1">
          <a:spLocks noChangeArrowheads="1"/>
        </xdr:cNvSpPr>
      </xdr:nvSpPr>
      <xdr:spPr>
        <a:xfrm>
          <a:off x="4191000" y="22669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9139983-c2cd-407d-b796-9fc5aa420d75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textlink="Build!AH508">
      <xdr:nvSpPr>
        <xdr:cNvPr id="10" name="TextBox 81"/>
        <xdr:cNvSpPr txBox="1">
          <a:spLocks noChangeArrowheads="1"/>
        </xdr:cNvSpPr>
      </xdr:nvSpPr>
      <xdr:spPr>
        <a:xfrm>
          <a:off x="4191000" y="24288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c94bb60-a17e-4305-87fe-53c77b61f5c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53</xdr:col>
      <xdr:colOff>0</xdr:colOff>
      <xdr:row>17</xdr:row>
      <xdr:rowOff>0</xdr:rowOff>
    </xdr:to>
    <xdr:sp textlink="Build!AH509">
      <xdr:nvSpPr>
        <xdr:cNvPr id="11" name="TextBox 82"/>
        <xdr:cNvSpPr txBox="1">
          <a:spLocks noChangeArrowheads="1"/>
        </xdr:cNvSpPr>
      </xdr:nvSpPr>
      <xdr:spPr>
        <a:xfrm>
          <a:off x="4191000" y="25908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65f8004-7f85-42b6-83c6-9c89b96f6ce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53</xdr:col>
      <xdr:colOff>0</xdr:colOff>
      <xdr:row>18</xdr:row>
      <xdr:rowOff>0</xdr:rowOff>
    </xdr:to>
    <xdr:sp textlink="Build!AH510">
      <xdr:nvSpPr>
        <xdr:cNvPr id="12" name="TextBox 83"/>
        <xdr:cNvSpPr txBox="1">
          <a:spLocks noChangeArrowheads="1"/>
        </xdr:cNvSpPr>
      </xdr:nvSpPr>
      <xdr:spPr>
        <a:xfrm>
          <a:off x="4191000" y="27527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af7b28-f1c8-43a8-b87e-40e74ad3d81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53</xdr:col>
      <xdr:colOff>0</xdr:colOff>
      <xdr:row>19</xdr:row>
      <xdr:rowOff>0</xdr:rowOff>
    </xdr:to>
    <xdr:sp textlink="Build!AH511">
      <xdr:nvSpPr>
        <xdr:cNvPr id="13" name="TextBox 84"/>
        <xdr:cNvSpPr txBox="1">
          <a:spLocks noChangeArrowheads="1"/>
        </xdr:cNvSpPr>
      </xdr:nvSpPr>
      <xdr:spPr>
        <a:xfrm>
          <a:off x="4191000" y="29146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0504dc5-32dc-40f8-b52c-97288a40f04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38</xdr:col>
      <xdr:colOff>76200</xdr:colOff>
      <xdr:row>16</xdr:row>
      <xdr:rowOff>9525</xdr:rowOff>
    </xdr:from>
    <xdr:to>
      <xdr:col>51</xdr:col>
      <xdr:colOff>76200</xdr:colOff>
      <xdr:row>17</xdr:row>
      <xdr:rowOff>9525</xdr:rowOff>
    </xdr:to>
    <xdr:sp textlink="Build!AH512">
      <xdr:nvSpPr>
        <xdr:cNvPr id="14" name="TextBox 85"/>
        <xdr:cNvSpPr txBox="1">
          <a:spLocks noChangeArrowheads="1"/>
        </xdr:cNvSpPr>
      </xdr:nvSpPr>
      <xdr:spPr>
        <a:xfrm>
          <a:off x="4057650" y="26003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22a09f5-104e-4164-9efa-3db056ee336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53</xdr:col>
      <xdr:colOff>0</xdr:colOff>
      <xdr:row>21</xdr:row>
      <xdr:rowOff>0</xdr:rowOff>
    </xdr:to>
    <xdr:sp textlink="Build!AH513">
      <xdr:nvSpPr>
        <xdr:cNvPr id="15" name="TextBox 86"/>
        <xdr:cNvSpPr txBox="1">
          <a:spLocks noChangeArrowheads="1"/>
        </xdr:cNvSpPr>
      </xdr:nvSpPr>
      <xdr:spPr>
        <a:xfrm>
          <a:off x="4191000" y="32385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e3e9256-2489-4ae2-994c-8ecfc4cdcd10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 textlink="Build!AH514">
      <xdr:nvSpPr>
        <xdr:cNvPr id="16" name="TextBox 87"/>
        <xdr:cNvSpPr txBox="1">
          <a:spLocks noChangeArrowheads="1"/>
        </xdr:cNvSpPr>
      </xdr:nvSpPr>
      <xdr:spPr>
        <a:xfrm>
          <a:off x="4191000" y="34004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abc9a0-f175-43fb-8126-50e5ddf1359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 textlink="Build!AH515">
      <xdr:nvSpPr>
        <xdr:cNvPr id="17" name="TextBox 88"/>
        <xdr:cNvSpPr txBox="1">
          <a:spLocks noChangeArrowheads="1"/>
        </xdr:cNvSpPr>
      </xdr:nvSpPr>
      <xdr:spPr>
        <a:xfrm>
          <a:off x="4191000" y="35623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77d497-f34c-4de3-beec-804e8127b84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23</xdr:row>
      <xdr:rowOff>0</xdr:rowOff>
    </xdr:from>
    <xdr:to>
      <xdr:col>53</xdr:col>
      <xdr:colOff>0</xdr:colOff>
      <xdr:row>24</xdr:row>
      <xdr:rowOff>0</xdr:rowOff>
    </xdr:to>
    <xdr:sp textlink="Build!AH516">
      <xdr:nvSpPr>
        <xdr:cNvPr id="18" name="TextBox 89"/>
        <xdr:cNvSpPr txBox="1">
          <a:spLocks noChangeArrowheads="1"/>
        </xdr:cNvSpPr>
      </xdr:nvSpPr>
      <xdr:spPr>
        <a:xfrm>
          <a:off x="4191000" y="37242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99ac9a-4cd9-4cd2-ad81-d70fcd15479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53</xdr:col>
      <xdr:colOff>0</xdr:colOff>
      <xdr:row>25</xdr:row>
      <xdr:rowOff>0</xdr:rowOff>
    </xdr:to>
    <xdr:sp textlink="Build!AH517">
      <xdr:nvSpPr>
        <xdr:cNvPr id="19" name="TextBox 90"/>
        <xdr:cNvSpPr txBox="1">
          <a:spLocks noChangeArrowheads="1"/>
        </xdr:cNvSpPr>
      </xdr:nvSpPr>
      <xdr:spPr>
        <a:xfrm>
          <a:off x="4191000" y="38862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70dab6-d57c-4733-b6f0-82d372ed7887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 textlink="Build!AH518">
      <xdr:nvSpPr>
        <xdr:cNvPr id="20" name="TextBox 91"/>
        <xdr:cNvSpPr txBox="1">
          <a:spLocks noChangeArrowheads="1"/>
        </xdr:cNvSpPr>
      </xdr:nvSpPr>
      <xdr:spPr>
        <a:xfrm>
          <a:off x="4191000" y="40481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c35f569-73af-451a-a3dd-30e0b1f0c568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 textlink="Build!AH519">
      <xdr:nvSpPr>
        <xdr:cNvPr id="21" name="TextBox 92"/>
        <xdr:cNvSpPr txBox="1">
          <a:spLocks noChangeArrowheads="1"/>
        </xdr:cNvSpPr>
      </xdr:nvSpPr>
      <xdr:spPr>
        <a:xfrm>
          <a:off x="4191000" y="42100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fdda398-997d-4677-b3aa-4f222092a8f1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 textlink="Build!AH520">
      <xdr:nvSpPr>
        <xdr:cNvPr id="22" name="TextBox 93"/>
        <xdr:cNvSpPr txBox="1">
          <a:spLocks noChangeArrowheads="1"/>
        </xdr:cNvSpPr>
      </xdr:nvSpPr>
      <xdr:spPr>
        <a:xfrm>
          <a:off x="4191000" y="43719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1b69724-4d7b-4ea5-b55b-fbe460cd691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 textlink="Build!AH521">
      <xdr:nvSpPr>
        <xdr:cNvPr id="23" name="TextBox 94"/>
        <xdr:cNvSpPr txBox="1">
          <a:spLocks noChangeArrowheads="1"/>
        </xdr:cNvSpPr>
      </xdr:nvSpPr>
      <xdr:spPr>
        <a:xfrm>
          <a:off x="4191000" y="45339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b695fbc-4cf2-48bd-8591-ec039a61371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 textlink="Build!AH522">
      <xdr:nvSpPr>
        <xdr:cNvPr id="24" name="TextBox 95"/>
        <xdr:cNvSpPr txBox="1">
          <a:spLocks noChangeArrowheads="1"/>
        </xdr:cNvSpPr>
      </xdr:nvSpPr>
      <xdr:spPr>
        <a:xfrm>
          <a:off x="4191000" y="46958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d67876e-8b56-47a8-96b9-12603a20e4f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 textlink="Build!AH523">
      <xdr:nvSpPr>
        <xdr:cNvPr id="25" name="TextBox 96"/>
        <xdr:cNvSpPr txBox="1">
          <a:spLocks noChangeArrowheads="1"/>
        </xdr:cNvSpPr>
      </xdr:nvSpPr>
      <xdr:spPr>
        <a:xfrm>
          <a:off x="4191000" y="48577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1f6ef3-5234-4c86-a39b-98b2cd84f744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 textlink="Build!AH524">
      <xdr:nvSpPr>
        <xdr:cNvPr id="26" name="TextBox 97"/>
        <xdr:cNvSpPr txBox="1">
          <a:spLocks noChangeArrowheads="1"/>
        </xdr:cNvSpPr>
      </xdr:nvSpPr>
      <xdr:spPr>
        <a:xfrm>
          <a:off x="4191000" y="50196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a49f4e2-59fd-4d57-bed6-e6093eea4ac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53</xdr:col>
      <xdr:colOff>0</xdr:colOff>
      <xdr:row>33</xdr:row>
      <xdr:rowOff>0</xdr:rowOff>
    </xdr:to>
    <xdr:sp textlink="Build!AH525">
      <xdr:nvSpPr>
        <xdr:cNvPr id="27" name="TextBox 98"/>
        <xdr:cNvSpPr txBox="1">
          <a:spLocks noChangeArrowheads="1"/>
        </xdr:cNvSpPr>
      </xdr:nvSpPr>
      <xdr:spPr>
        <a:xfrm>
          <a:off x="4191000" y="51816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4461cc-4983-400b-b380-4782072f2cb3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 textlink="Build!AH526">
      <xdr:nvSpPr>
        <xdr:cNvPr id="28" name="TextBox 99"/>
        <xdr:cNvSpPr txBox="1">
          <a:spLocks noChangeArrowheads="1"/>
        </xdr:cNvSpPr>
      </xdr:nvSpPr>
      <xdr:spPr>
        <a:xfrm>
          <a:off x="4191000" y="53435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f6dcb6-76e5-493f-9f3d-75f55bce0d2c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34</xdr:row>
      <xdr:rowOff>0</xdr:rowOff>
    </xdr:from>
    <xdr:to>
      <xdr:col>53</xdr:col>
      <xdr:colOff>0</xdr:colOff>
      <xdr:row>35</xdr:row>
      <xdr:rowOff>0</xdr:rowOff>
    </xdr:to>
    <xdr:sp textlink="Build!AH527">
      <xdr:nvSpPr>
        <xdr:cNvPr id="29" name="TextBox 100"/>
        <xdr:cNvSpPr txBox="1">
          <a:spLocks noChangeArrowheads="1"/>
        </xdr:cNvSpPr>
      </xdr:nvSpPr>
      <xdr:spPr>
        <a:xfrm>
          <a:off x="4191000" y="55054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6869b0f-ffa6-4800-b9d5-2617c339e626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35</xdr:row>
      <xdr:rowOff>0</xdr:rowOff>
    </xdr:from>
    <xdr:to>
      <xdr:col>53</xdr:col>
      <xdr:colOff>0</xdr:colOff>
      <xdr:row>36</xdr:row>
      <xdr:rowOff>0</xdr:rowOff>
    </xdr:to>
    <xdr:sp textlink="Build!AH528">
      <xdr:nvSpPr>
        <xdr:cNvPr id="30" name="TextBox 101"/>
        <xdr:cNvSpPr txBox="1">
          <a:spLocks noChangeArrowheads="1"/>
        </xdr:cNvSpPr>
      </xdr:nvSpPr>
      <xdr:spPr>
        <a:xfrm>
          <a:off x="4191000" y="56673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8b31417-3b05-49e1-90c4-04c25a38157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36</xdr:row>
      <xdr:rowOff>0</xdr:rowOff>
    </xdr:from>
    <xdr:to>
      <xdr:col>53</xdr:col>
      <xdr:colOff>0</xdr:colOff>
      <xdr:row>37</xdr:row>
      <xdr:rowOff>0</xdr:rowOff>
    </xdr:to>
    <xdr:sp textlink="Build!AH529">
      <xdr:nvSpPr>
        <xdr:cNvPr id="31" name="TextBox 102"/>
        <xdr:cNvSpPr txBox="1">
          <a:spLocks noChangeArrowheads="1"/>
        </xdr:cNvSpPr>
      </xdr:nvSpPr>
      <xdr:spPr>
        <a:xfrm>
          <a:off x="4191000" y="58293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8f77be-2022-4094-98a7-04853359ea3d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37</xdr:row>
      <xdr:rowOff>0</xdr:rowOff>
    </xdr:from>
    <xdr:to>
      <xdr:col>53</xdr:col>
      <xdr:colOff>0</xdr:colOff>
      <xdr:row>38</xdr:row>
      <xdr:rowOff>0</xdr:rowOff>
    </xdr:to>
    <xdr:sp textlink="Build!AH530">
      <xdr:nvSpPr>
        <xdr:cNvPr id="32" name="TextBox 103"/>
        <xdr:cNvSpPr txBox="1">
          <a:spLocks noChangeArrowheads="1"/>
        </xdr:cNvSpPr>
      </xdr:nvSpPr>
      <xdr:spPr>
        <a:xfrm>
          <a:off x="4191000" y="59912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67fc92-769e-4683-958d-2cfc11f53f5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38</xdr:row>
      <xdr:rowOff>0</xdr:rowOff>
    </xdr:from>
    <xdr:to>
      <xdr:col>53</xdr:col>
      <xdr:colOff>0</xdr:colOff>
      <xdr:row>39</xdr:row>
      <xdr:rowOff>0</xdr:rowOff>
    </xdr:to>
    <xdr:sp textlink="Build!AH531">
      <xdr:nvSpPr>
        <xdr:cNvPr id="33" name="TextBox 104"/>
        <xdr:cNvSpPr txBox="1">
          <a:spLocks noChangeArrowheads="1"/>
        </xdr:cNvSpPr>
      </xdr:nvSpPr>
      <xdr:spPr>
        <a:xfrm>
          <a:off x="4191000" y="615315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475755-e23a-423b-a740-583c89acbaf9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53</xdr:col>
      <xdr:colOff>0</xdr:colOff>
      <xdr:row>40</xdr:row>
      <xdr:rowOff>0</xdr:rowOff>
    </xdr:to>
    <xdr:sp textlink="Build!AH532">
      <xdr:nvSpPr>
        <xdr:cNvPr id="34" name="TextBox 105"/>
        <xdr:cNvSpPr txBox="1">
          <a:spLocks noChangeArrowheads="1"/>
        </xdr:cNvSpPr>
      </xdr:nvSpPr>
      <xdr:spPr>
        <a:xfrm>
          <a:off x="4191000" y="631507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f15351-ce18-422c-a42f-cf3960f1d8fa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 textlink="Build!AH533">
      <xdr:nvSpPr>
        <xdr:cNvPr id="35" name="TextBox 106"/>
        <xdr:cNvSpPr txBox="1">
          <a:spLocks noChangeArrowheads="1"/>
        </xdr:cNvSpPr>
      </xdr:nvSpPr>
      <xdr:spPr>
        <a:xfrm>
          <a:off x="4191000" y="6477000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63a9d70-4afb-4635-8220-655ebff2595b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  <xdr:twoCellAnchor>
    <xdr:from>
      <xdr:col>40</xdr:col>
      <xdr:colOff>0</xdr:colOff>
      <xdr:row>41</xdr:row>
      <xdr:rowOff>0</xdr:rowOff>
    </xdr:from>
    <xdr:to>
      <xdr:col>53</xdr:col>
      <xdr:colOff>0</xdr:colOff>
      <xdr:row>42</xdr:row>
      <xdr:rowOff>0</xdr:rowOff>
    </xdr:to>
    <xdr:sp textlink="Build!AH534">
      <xdr:nvSpPr>
        <xdr:cNvPr id="36" name="TextBox 107"/>
        <xdr:cNvSpPr txBox="1">
          <a:spLocks noChangeArrowheads="1"/>
        </xdr:cNvSpPr>
      </xdr:nvSpPr>
      <xdr:spPr>
        <a:xfrm>
          <a:off x="4191000" y="6638925"/>
          <a:ext cx="1362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d5f8c8d-525c-4611-8f01-57e4386925ae}" type="TxLink">
            <a:rPr lang="en-US" cap="none" u="none" baseline="0">
              <a:latin typeface="Times New Roman"/>
              <a:ea typeface="Times New Roman"/>
              <a:cs typeface="Times New Roman"/>
            </a:rPr>
            <a:t/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2:BZ709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3.66015625" style="41" customWidth="1"/>
    <col min="2" max="82" width="6.83203125" style="41" customWidth="1"/>
    <col min="87" max="16384" width="6.83203125" style="41" customWidth="1"/>
  </cols>
  <sheetData>
    <row r="2" ht="20.25">
      <c r="B2" s="365" t="s">
        <v>1753</v>
      </c>
    </row>
    <row r="3" ht="12.75">
      <c r="B3" s="41" t="s">
        <v>834</v>
      </c>
    </row>
    <row r="4" ht="12.75">
      <c r="B4" s="41" t="s">
        <v>1057</v>
      </c>
    </row>
    <row r="5" ht="13.5" thickBot="1"/>
    <row r="6" spans="2:24" ht="12.75">
      <c r="B6" s="421" t="s">
        <v>1056</v>
      </c>
      <c r="C6" s="157"/>
      <c r="D6" s="157"/>
      <c r="E6" s="157"/>
      <c r="F6" s="157"/>
      <c r="G6" s="157"/>
      <c r="H6" s="233"/>
      <c r="I6" s="214"/>
      <c r="J6" s="421" t="s">
        <v>740</v>
      </c>
      <c r="K6" s="422"/>
      <c r="L6" s="261" t="s">
        <v>2384</v>
      </c>
      <c r="M6" s="261" t="s">
        <v>2385</v>
      </c>
      <c r="N6" s="261" t="s">
        <v>2386</v>
      </c>
      <c r="O6" s="261" t="s">
        <v>785</v>
      </c>
      <c r="P6" s="261" t="s">
        <v>786</v>
      </c>
      <c r="Q6" s="261" t="s">
        <v>2387</v>
      </c>
      <c r="R6" s="260" t="s">
        <v>1431</v>
      </c>
      <c r="T6" s="421" t="s">
        <v>1751</v>
      </c>
      <c r="U6" s="157"/>
      <c r="V6" s="157"/>
      <c r="W6" s="157"/>
      <c r="X6" s="233"/>
    </row>
    <row r="7" spans="2:24" ht="12.75">
      <c r="B7" s="262" t="s">
        <v>793</v>
      </c>
      <c r="C7" s="120"/>
      <c r="D7" s="546"/>
      <c r="E7" s="546"/>
      <c r="F7" s="546"/>
      <c r="G7" s="546"/>
      <c r="H7" s="569"/>
      <c r="I7" s="214"/>
      <c r="J7" s="257" t="s">
        <v>2564</v>
      </c>
      <c r="K7" s="120"/>
      <c r="L7" s="121"/>
      <c r="M7" s="122" t="e">
        <f aca="true" t="shared" si="0" ref="M7:M12">VLOOKUP(L7,AttribCost,2,TRUE)</f>
        <v>#N/A</v>
      </c>
      <c r="N7" s="122" t="e">
        <f>RaceDex</f>
        <v>#N/A</v>
      </c>
      <c r="O7" s="122" t="e">
        <f aca="true" t="shared" si="1" ref="O7:O12">L7+N7</f>
        <v>#N/A</v>
      </c>
      <c r="P7" s="121"/>
      <c r="Q7" s="122" t="e">
        <f aca="true" t="shared" si="2" ref="Q7:Q12">O7+P7</f>
        <v>#N/A</v>
      </c>
      <c r="R7" s="160" t="str">
        <f aca="true" ca="1" t="shared" si="3" ref="R7:R12">IF(P7&gt;0,OFFSET(CostStat,P7,0)," ")</f>
        <v> </v>
      </c>
      <c r="T7" s="257" t="s">
        <v>765</v>
      </c>
      <c r="U7" s="120"/>
      <c r="V7" s="245"/>
      <c r="W7" s="245"/>
      <c r="X7" s="244"/>
    </row>
    <row r="8" spans="2:24" ht="12.75">
      <c r="B8" s="262" t="s">
        <v>2585</v>
      </c>
      <c r="C8" s="120"/>
      <c r="D8" s="546"/>
      <c r="E8" s="546"/>
      <c r="F8" s="122"/>
      <c r="G8" s="122">
        <f>IF(AND(Race&lt;&gt;"",ISERROR(MATCH(Race,Races,0))),"Unknown!","")</f>
      </c>
      <c r="H8" s="158"/>
      <c r="I8" s="214"/>
      <c r="J8" s="257" t="s">
        <v>2565</v>
      </c>
      <c r="K8" s="120"/>
      <c r="L8" s="121"/>
      <c r="M8" s="122" t="e">
        <f t="shared" si="0"/>
        <v>#N/A</v>
      </c>
      <c r="N8" s="122" t="e">
        <f>RaceStr</f>
        <v>#N/A</v>
      </c>
      <c r="O8" s="122" t="e">
        <f t="shared" si="1"/>
        <v>#N/A</v>
      </c>
      <c r="P8" s="121"/>
      <c r="Q8" s="122" t="e">
        <f t="shared" si="2"/>
        <v>#N/A</v>
      </c>
      <c r="R8" s="160" t="str">
        <f ca="1" t="shared" si="3"/>
        <v> </v>
      </c>
      <c r="T8" s="257" t="s">
        <v>788</v>
      </c>
      <c r="U8" s="120"/>
      <c r="V8" s="121"/>
      <c r="W8" s="112"/>
      <c r="X8" s="158"/>
    </row>
    <row r="9" spans="2:24" ht="12.75">
      <c r="B9" s="262" t="s">
        <v>794</v>
      </c>
      <c r="C9" s="120"/>
      <c r="D9" s="156"/>
      <c r="E9" s="112"/>
      <c r="F9" s="112"/>
      <c r="G9" s="112"/>
      <c r="H9" s="158"/>
      <c r="I9" s="214"/>
      <c r="J9" s="257" t="s">
        <v>2429</v>
      </c>
      <c r="K9" s="120"/>
      <c r="L9" s="121"/>
      <c r="M9" s="122" t="e">
        <f t="shared" si="0"/>
        <v>#N/A</v>
      </c>
      <c r="N9" s="122" t="e">
        <f>RaceTou</f>
        <v>#N/A</v>
      </c>
      <c r="O9" s="122" t="e">
        <f t="shared" si="1"/>
        <v>#N/A</v>
      </c>
      <c r="P9" s="121"/>
      <c r="Q9" s="122" t="e">
        <f t="shared" si="2"/>
        <v>#N/A</v>
      </c>
      <c r="R9" s="160" t="str">
        <f ca="1" t="shared" si="3"/>
        <v> </v>
      </c>
      <c r="T9" s="257" t="s">
        <v>787</v>
      </c>
      <c r="U9" s="120"/>
      <c r="V9" s="245"/>
      <c r="W9" s="245"/>
      <c r="X9" s="244"/>
    </row>
    <row r="10" spans="2:24" ht="12.75">
      <c r="B10" s="262" t="s">
        <v>795</v>
      </c>
      <c r="C10" s="120"/>
      <c r="D10" s="393"/>
      <c r="E10" s="112" t="s">
        <v>822</v>
      </c>
      <c r="F10" s="112"/>
      <c r="G10" s="112"/>
      <c r="H10" s="158"/>
      <c r="I10" s="214"/>
      <c r="J10" s="257" t="s">
        <v>2566</v>
      </c>
      <c r="K10" s="120"/>
      <c r="L10" s="121"/>
      <c r="M10" s="122" t="e">
        <f t="shared" si="0"/>
        <v>#N/A</v>
      </c>
      <c r="N10" s="122" t="e">
        <f>RacePer</f>
        <v>#N/A</v>
      </c>
      <c r="O10" s="122" t="e">
        <f t="shared" si="1"/>
        <v>#N/A</v>
      </c>
      <c r="P10" s="121"/>
      <c r="Q10" s="122" t="e">
        <f t="shared" si="2"/>
        <v>#N/A</v>
      </c>
      <c r="R10" s="160" t="str">
        <f ca="1" t="shared" si="3"/>
        <v> </v>
      </c>
      <c r="T10" s="257" t="s">
        <v>788</v>
      </c>
      <c r="U10" s="120"/>
      <c r="V10" s="121"/>
      <c r="W10" s="112"/>
      <c r="X10" s="158"/>
    </row>
    <row r="11" spans="2:24" ht="13.5" thickBot="1">
      <c r="B11" s="262" t="s">
        <v>796</v>
      </c>
      <c r="C11" s="120"/>
      <c r="D11" s="393"/>
      <c r="E11" s="112"/>
      <c r="F11" s="112"/>
      <c r="G11" s="112"/>
      <c r="H11" s="158"/>
      <c r="I11" s="214"/>
      <c r="J11" s="257" t="s">
        <v>2567</v>
      </c>
      <c r="K11" s="120"/>
      <c r="L11" s="121"/>
      <c r="M11" s="122" t="e">
        <f t="shared" si="0"/>
        <v>#N/A</v>
      </c>
      <c r="N11" s="122" t="e">
        <f>RaceWil</f>
        <v>#N/A</v>
      </c>
      <c r="O11" s="122" t="e">
        <f t="shared" si="1"/>
        <v>#N/A</v>
      </c>
      <c r="P11" s="121"/>
      <c r="Q11" s="122" t="e">
        <f t="shared" si="2"/>
        <v>#N/A</v>
      </c>
      <c r="R11" s="160" t="str">
        <f ca="1" t="shared" si="3"/>
        <v> </v>
      </c>
      <c r="T11" s="263" t="s">
        <v>789</v>
      </c>
      <c r="U11" s="159"/>
      <c r="V11" s="225"/>
      <c r="W11" s="162"/>
      <c r="X11" s="234"/>
    </row>
    <row r="12" spans="2:18" ht="12.75">
      <c r="B12" s="262" t="s">
        <v>2403</v>
      </c>
      <c r="C12" s="120"/>
      <c r="D12" s="393"/>
      <c r="E12" s="112" t="s">
        <v>823</v>
      </c>
      <c r="F12" s="112"/>
      <c r="G12" s="112"/>
      <c r="H12" s="158"/>
      <c r="I12" s="214"/>
      <c r="J12" s="264" t="s">
        <v>2568</v>
      </c>
      <c r="K12" s="140"/>
      <c r="L12" s="142"/>
      <c r="M12" s="122" t="e">
        <f t="shared" si="0"/>
        <v>#N/A</v>
      </c>
      <c r="N12" s="122" t="e">
        <f>RaceCha</f>
        <v>#N/A</v>
      </c>
      <c r="O12" s="134" t="e">
        <f t="shared" si="1"/>
        <v>#N/A</v>
      </c>
      <c r="P12" s="142"/>
      <c r="Q12" s="122" t="e">
        <f t="shared" si="2"/>
        <v>#N/A</v>
      </c>
      <c r="R12" s="160" t="str">
        <f ca="1" t="shared" si="3"/>
        <v> </v>
      </c>
    </row>
    <row r="13" spans="2:18" ht="13.5" thickBot="1">
      <c r="B13" s="262" t="s">
        <v>797</v>
      </c>
      <c r="C13" s="120"/>
      <c r="D13" s="546"/>
      <c r="E13" s="546"/>
      <c r="F13" s="546"/>
      <c r="G13" s="546"/>
      <c r="H13" s="158"/>
      <c r="I13" s="214"/>
      <c r="J13" s="161"/>
      <c r="K13" s="162"/>
      <c r="L13" s="162"/>
      <c r="M13" s="163" t="e">
        <f>SUM(M7:M12)&amp;" of 66"</f>
        <v>#N/A</v>
      </c>
      <c r="N13" s="162"/>
      <c r="O13" s="162"/>
      <c r="P13" s="163" t="str">
        <f>SUM(P7:P12)&amp;" of "&amp;MAX(Circle1,Circle2)-1</f>
        <v>0 of -1</v>
      </c>
      <c r="Q13" s="163"/>
      <c r="R13" s="234"/>
    </row>
    <row r="14" spans="2:10" ht="12.75">
      <c r="B14" s="262" t="s">
        <v>798</v>
      </c>
      <c r="C14" s="120"/>
      <c r="D14" s="546"/>
      <c r="E14" s="546"/>
      <c r="F14" s="546"/>
      <c r="G14" s="546"/>
      <c r="H14" s="158"/>
      <c r="I14" s="352"/>
      <c r="J14" s="352"/>
    </row>
    <row r="15" spans="1:10" ht="13.5" thickBot="1">
      <c r="A15" s="100"/>
      <c r="B15" s="413" t="s">
        <v>2477</v>
      </c>
      <c r="C15" s="140"/>
      <c r="D15" s="515"/>
      <c r="E15" s="515"/>
      <c r="F15" s="515"/>
      <c r="G15" s="515"/>
      <c r="H15" s="516"/>
      <c r="I15" s="352"/>
      <c r="J15" s="352"/>
    </row>
    <row r="16" spans="1:24" ht="12.75">
      <c r="A16" s="100"/>
      <c r="B16" s="391"/>
      <c r="C16" s="412"/>
      <c r="D16" s="513"/>
      <c r="E16" s="513"/>
      <c r="F16" s="513"/>
      <c r="G16" s="513"/>
      <c r="H16" s="514"/>
      <c r="I16" s="214"/>
      <c r="J16" s="214"/>
      <c r="U16" s="477" t="s">
        <v>1820</v>
      </c>
      <c r="V16" s="478"/>
      <c r="W16" s="478"/>
      <c r="X16" s="479"/>
    </row>
    <row r="17" spans="1:24" ht="13.5" thickBot="1">
      <c r="A17" s="100"/>
      <c r="B17" s="353"/>
      <c r="C17" s="354"/>
      <c r="D17" s="507"/>
      <c r="E17" s="507"/>
      <c r="F17" s="507"/>
      <c r="G17" s="507"/>
      <c r="H17" s="508"/>
      <c r="U17" s="480"/>
      <c r="V17" s="481"/>
      <c r="W17" s="481"/>
      <c r="X17" s="439"/>
    </row>
    <row r="18" spans="1:24" ht="13.5" thickBot="1">
      <c r="A18" s="100"/>
      <c r="U18" s="257" t="s">
        <v>2564</v>
      </c>
      <c r="V18" s="120"/>
      <c r="W18" s="121"/>
      <c r="X18" s="160" t="str">
        <f ca="1">IF(W18&lt;&gt;"",OFFSET(Cost_5_8,W18,0),"  ")</f>
        <v>  </v>
      </c>
    </row>
    <row r="19" spans="1:24" ht="12.75">
      <c r="A19" s="100"/>
      <c r="B19" s="421" t="s">
        <v>1052</v>
      </c>
      <c r="C19" s="157"/>
      <c r="D19" s="157"/>
      <c r="E19" s="157"/>
      <c r="F19" s="157"/>
      <c r="G19" s="157"/>
      <c r="H19" s="157"/>
      <c r="I19" s="157"/>
      <c r="J19" s="157"/>
      <c r="K19" s="233"/>
      <c r="U19" s="257" t="s">
        <v>2565</v>
      </c>
      <c r="V19" s="120"/>
      <c r="W19" s="121"/>
      <c r="X19" s="160" t="str">
        <f aca="true" ca="1" t="shared" si="4" ref="X19:X30">IF(W19&lt;&gt;"",OFFSET(Cost_5_8,W19,0),"  ")</f>
        <v>  </v>
      </c>
    </row>
    <row r="20" spans="1:24" ht="13.5" thickBot="1">
      <c r="A20" s="100"/>
      <c r="B20" s="520"/>
      <c r="C20" s="521"/>
      <c r="D20" s="521"/>
      <c r="E20" s="521"/>
      <c r="F20" s="521"/>
      <c r="G20" s="521"/>
      <c r="H20" s="521"/>
      <c r="I20" s="521"/>
      <c r="J20" s="521"/>
      <c r="K20" s="522"/>
      <c r="U20" s="257" t="s">
        <v>2429</v>
      </c>
      <c r="V20" s="120"/>
      <c r="W20" s="121"/>
      <c r="X20" s="160" t="str">
        <f ca="1" t="shared" si="4"/>
        <v>  </v>
      </c>
    </row>
    <row r="21" spans="21:24" ht="13.5" thickBot="1">
      <c r="U21" s="257" t="s">
        <v>2566</v>
      </c>
      <c r="V21" s="120"/>
      <c r="W21" s="121"/>
      <c r="X21" s="160" t="str">
        <f ca="1" t="shared" si="4"/>
        <v>  </v>
      </c>
    </row>
    <row r="22" spans="2:24" ht="12.75">
      <c r="B22" s="421" t="s">
        <v>1055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233"/>
      <c r="P22" s="421" t="s">
        <v>1430</v>
      </c>
      <c r="Q22" s="157"/>
      <c r="R22" s="157"/>
      <c r="S22" s="233"/>
      <c r="U22" s="257" t="s">
        <v>2567</v>
      </c>
      <c r="V22" s="120"/>
      <c r="W22" s="121"/>
      <c r="X22" s="160" t="str">
        <f ca="1" t="shared" si="4"/>
        <v>  </v>
      </c>
    </row>
    <row r="23" spans="2:24" ht="12.75">
      <c r="B23" s="523"/>
      <c r="C23" s="524"/>
      <c r="D23" s="524"/>
      <c r="E23" s="524"/>
      <c r="F23" s="524"/>
      <c r="G23" s="524"/>
      <c r="H23" s="524"/>
      <c r="I23" s="524"/>
      <c r="J23" s="524"/>
      <c r="K23" s="524"/>
      <c r="L23" s="525"/>
      <c r="P23" s="257" t="s">
        <v>1422</v>
      </c>
      <c r="Q23" s="120"/>
      <c r="R23" s="551">
        <f>SUM(F499:F572)-R489</f>
        <v>0</v>
      </c>
      <c r="S23" s="552"/>
      <c r="U23" s="257" t="s">
        <v>2568</v>
      </c>
      <c r="V23" s="120"/>
      <c r="W23" s="121"/>
      <c r="X23" s="160" t="str">
        <f ca="1" t="shared" si="4"/>
        <v>  </v>
      </c>
    </row>
    <row r="24" spans="2:24" ht="13.5" thickBot="1">
      <c r="B24" s="526"/>
      <c r="C24" s="527"/>
      <c r="D24" s="527"/>
      <c r="E24" s="527"/>
      <c r="F24" s="527"/>
      <c r="G24" s="527"/>
      <c r="H24" s="527"/>
      <c r="I24" s="527"/>
      <c r="J24" s="527"/>
      <c r="K24" s="527"/>
      <c r="L24" s="528"/>
      <c r="P24" s="257" t="s">
        <v>1425</v>
      </c>
      <c r="Q24" s="120"/>
      <c r="R24" s="551">
        <f>AP497-600</f>
        <v>-600</v>
      </c>
      <c r="S24" s="552"/>
      <c r="U24" s="257" t="s">
        <v>831</v>
      </c>
      <c r="V24" s="120"/>
      <c r="W24" s="121"/>
      <c r="X24" s="160" t="str">
        <f ca="1" t="shared" si="4"/>
        <v>  </v>
      </c>
    </row>
    <row r="25" spans="16:24" ht="13.5" thickBot="1">
      <c r="P25" s="257" t="s">
        <v>1428</v>
      </c>
      <c r="Q25" s="120"/>
      <c r="R25" s="551">
        <f>SUM(R7:R12)</f>
        <v>0</v>
      </c>
      <c r="S25" s="552"/>
      <c r="U25" s="257" t="s">
        <v>1178</v>
      </c>
      <c r="V25" s="120"/>
      <c r="W25" s="121"/>
      <c r="X25" s="160" t="str">
        <f ca="1" t="shared" si="4"/>
        <v>  </v>
      </c>
    </row>
    <row r="26" spans="2:24" ht="12.75">
      <c r="B26" s="421" t="s">
        <v>1054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233"/>
      <c r="P26" s="257" t="s">
        <v>2448</v>
      </c>
      <c r="Q26" s="120"/>
      <c r="R26" s="551">
        <f>AK497</f>
        <v>0</v>
      </c>
      <c r="S26" s="552"/>
      <c r="U26" s="257" t="s">
        <v>1179</v>
      </c>
      <c r="V26" s="120"/>
      <c r="W26" s="121"/>
      <c r="X26" s="160" t="str">
        <f ca="1" t="shared" si="4"/>
        <v>  </v>
      </c>
    </row>
    <row r="27" spans="2:24" ht="12.75">
      <c r="B27" s="523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5"/>
      <c r="P27" s="257" t="s">
        <v>1423</v>
      </c>
      <c r="Q27" s="120"/>
      <c r="R27" s="551">
        <f>BE497</f>
        <v>0</v>
      </c>
      <c r="S27" s="552"/>
      <c r="U27" s="257" t="s">
        <v>1185</v>
      </c>
      <c r="V27" s="120"/>
      <c r="W27" s="121"/>
      <c r="X27" s="160" t="str">
        <f ca="1" t="shared" si="4"/>
        <v>  </v>
      </c>
    </row>
    <row r="28" spans="2:24" ht="12.75">
      <c r="B28" s="523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5"/>
      <c r="P28" s="257" t="s">
        <v>170</v>
      </c>
      <c r="Q28" s="120"/>
      <c r="R28" s="551">
        <f>SUM(F573:F588)</f>
        <v>0</v>
      </c>
      <c r="S28" s="552"/>
      <c r="U28" s="257" t="s">
        <v>1039</v>
      </c>
      <c r="V28" s="120"/>
      <c r="W28" s="121"/>
      <c r="X28" s="160" t="str">
        <f ca="1" t="shared" si="4"/>
        <v>  </v>
      </c>
    </row>
    <row r="29" spans="2:24" ht="12.75">
      <c r="B29" s="523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5"/>
      <c r="P29" s="391" t="s">
        <v>1429</v>
      </c>
      <c r="Q29" s="120"/>
      <c r="R29" s="553"/>
      <c r="S29" s="554"/>
      <c r="U29" s="257" t="s">
        <v>1180</v>
      </c>
      <c r="V29" s="120"/>
      <c r="W29" s="121"/>
      <c r="X29" s="160" t="str">
        <f ca="1" t="shared" si="4"/>
        <v>  </v>
      </c>
    </row>
    <row r="30" spans="2:24" ht="13.5" thickBot="1">
      <c r="B30" s="526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8"/>
      <c r="P30" s="263" t="s">
        <v>2431</v>
      </c>
      <c r="Q30" s="159"/>
      <c r="R30" s="555">
        <f>SUM(R23:S29)</f>
        <v>-600</v>
      </c>
      <c r="S30" s="556"/>
      <c r="U30" s="263" t="s">
        <v>1182</v>
      </c>
      <c r="V30" s="159"/>
      <c r="W30" s="225"/>
      <c r="X30" s="227" t="str">
        <f ca="1" t="shared" si="4"/>
        <v>  </v>
      </c>
    </row>
    <row r="31" spans="6:18" ht="13.5" thickBot="1">
      <c r="F31" s="2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</row>
    <row r="32" spans="2:38" ht="12.75">
      <c r="B32" s="421" t="str">
        <f ca="1">Dicipline1&amp;" ("&amp;OFFSET(Numth,Circle1,0)&amp;")"</f>
        <v> (0th)</v>
      </c>
      <c r="C32" s="157"/>
      <c r="D32" s="157"/>
      <c r="E32" s="261" t="s">
        <v>826</v>
      </c>
      <c r="F32" s="261" t="s">
        <v>2419</v>
      </c>
      <c r="G32" s="261" t="s">
        <v>790</v>
      </c>
      <c r="H32" s="261" t="s">
        <v>791</v>
      </c>
      <c r="I32" s="261" t="s">
        <v>792</v>
      </c>
      <c r="J32" s="260" t="s">
        <v>1431</v>
      </c>
      <c r="L32" s="421" t="s">
        <v>2528</v>
      </c>
      <c r="M32" s="157"/>
      <c r="N32" s="157"/>
      <c r="O32" s="261" t="s">
        <v>1726</v>
      </c>
      <c r="P32" s="261" t="s">
        <v>1189</v>
      </c>
      <c r="Q32" s="260" t="s">
        <v>1431</v>
      </c>
      <c r="S32" s="423">
        <f ca="1">IF(Dic2,Dicipline2&amp;" ("&amp;OFFSET(Numth,Circle2,0)&amp;")","")</f>
      </c>
      <c r="T32" s="386"/>
      <c r="U32" s="386"/>
      <c r="V32" s="387"/>
      <c r="W32" s="387" t="s">
        <v>2419</v>
      </c>
      <c r="X32" s="387" t="s">
        <v>790</v>
      </c>
      <c r="Y32" s="387" t="s">
        <v>791</v>
      </c>
      <c r="Z32" s="387" t="s">
        <v>792</v>
      </c>
      <c r="AA32" s="388" t="s">
        <v>1431</v>
      </c>
      <c r="AK32" s="106"/>
      <c r="AL32" s="116"/>
    </row>
    <row r="33" spans="1:38" ht="12.75">
      <c r="A33" s="41">
        <v>1</v>
      </c>
      <c r="B33" s="538" t="str">
        <f aca="true" t="shared" si="5" ref="B33:B69">C499</f>
        <v> </v>
      </c>
      <c r="C33" s="539"/>
      <c r="D33" s="539"/>
      <c r="E33" s="121"/>
      <c r="F33" s="121"/>
      <c r="G33" s="121"/>
      <c r="H33" s="122"/>
      <c r="I33" s="122">
        <f>IF(AND(B33&lt;&gt;" ",OR(E33+F33&lt;1,H33&lt;&gt;"")),"Hidden","")</f>
      </c>
      <c r="J33" s="160">
        <f aca="true" ca="1" t="shared" si="6" ref="J33:J38">OFFSET(Cost_1_4,F33,0)-OFFSET(Cost_1_4,E33,0)+OFFSET(Cost_5_8,G33,0)</f>
        <v>0</v>
      </c>
      <c r="L33" s="226">
        <f aca="true" ca="1" t="shared" si="7" ref="L33:L48">IF(BB499,OFFSET(AT$498,BB499,0),"")</f>
      </c>
      <c r="M33" s="112"/>
      <c r="N33" s="112"/>
      <c r="O33" s="121"/>
      <c r="P33" s="122" t="str">
        <f ca="1">IF(BB499,OFFSET(AW$498,BB499,0)," ")</f>
        <v> </v>
      </c>
      <c r="Q33" s="160" t="str">
        <f aca="true" ca="1" t="shared" si="8" ref="Q33:Q48">IF(BB499,OFFSET(AY$498,BB499,0)," ")</f>
        <v> </v>
      </c>
      <c r="R33" s="41">
        <v>1</v>
      </c>
      <c r="S33" s="538" t="str">
        <f aca="true" t="shared" si="9" ref="S33:S69">C536</f>
        <v> </v>
      </c>
      <c r="T33" s="539"/>
      <c r="U33" s="539"/>
      <c r="V33" s="539"/>
      <c r="W33" s="121"/>
      <c r="X33" s="121"/>
      <c r="Y33" s="121"/>
      <c r="Z33" s="122">
        <f aca="true" t="shared" si="10" ref="Z33:Z69">IF(AND(S33&lt;&gt;" ",OR(W33&lt;1,Y33&lt;&gt;"")),"Hidden","")</f>
      </c>
      <c r="AA33" s="160">
        <f ca="1">IF(S33=" ","",OFFSET(Cost_1_4,W33,0))</f>
      </c>
      <c r="AK33" s="106"/>
      <c r="AL33" s="116"/>
    </row>
    <row r="34" spans="1:38" ht="12.75">
      <c r="A34" s="41">
        <v>1</v>
      </c>
      <c r="B34" s="518" t="str">
        <f t="shared" si="5"/>
        <v> </v>
      </c>
      <c r="C34" s="519"/>
      <c r="D34" s="519"/>
      <c r="E34" s="121"/>
      <c r="F34" s="121"/>
      <c r="G34" s="121"/>
      <c r="H34" s="122"/>
      <c r="I34" s="122">
        <f aca="true" t="shared" si="11" ref="I34:I39">IF(AND(B34&lt;&gt;" ",OR(E34+F34&lt;1,H34&lt;&gt;"")),"Hidden","")</f>
      </c>
      <c r="J34" s="160">
        <f ca="1" t="shared" si="6"/>
        <v>0</v>
      </c>
      <c r="L34" s="226">
        <f ca="1" t="shared" si="7"/>
      </c>
      <c r="M34" s="112"/>
      <c r="N34" s="112"/>
      <c r="O34" s="121"/>
      <c r="P34" s="122" t="str">
        <f aca="true" ca="1" t="shared" si="12" ref="P34:P48">IF(BB500,OFFSET(AW$498,BB500,0)," ")</f>
        <v> </v>
      </c>
      <c r="Q34" s="160" t="str">
        <f ca="1" t="shared" si="8"/>
        <v> </v>
      </c>
      <c r="R34" s="41">
        <v>1</v>
      </c>
      <c r="S34" s="518" t="str">
        <f t="shared" si="9"/>
        <v> </v>
      </c>
      <c r="T34" s="519"/>
      <c r="U34" s="519"/>
      <c r="V34" s="519"/>
      <c r="W34" s="121"/>
      <c r="X34" s="121"/>
      <c r="Y34" s="121"/>
      <c r="Z34" s="122">
        <f t="shared" si="10"/>
      </c>
      <c r="AA34" s="160">
        <f aca="true" ca="1" t="shared" si="13" ref="AA34:AA69">IF(S34=" ","",OFFSET(Cost_1_4,W34,0))</f>
      </c>
      <c r="AK34" s="106"/>
      <c r="AL34" s="116"/>
    </row>
    <row r="35" spans="1:38" ht="12.75">
      <c r="A35" s="41">
        <v>1</v>
      </c>
      <c r="B35" s="518" t="str">
        <f t="shared" si="5"/>
        <v> </v>
      </c>
      <c r="C35" s="519"/>
      <c r="D35" s="519"/>
      <c r="E35" s="121"/>
      <c r="F35" s="121"/>
      <c r="G35" s="121"/>
      <c r="H35" s="122"/>
      <c r="I35" s="122">
        <f t="shared" si="11"/>
      </c>
      <c r="J35" s="160">
        <f ca="1" t="shared" si="6"/>
        <v>0</v>
      </c>
      <c r="L35" s="226">
        <f ca="1" t="shared" si="7"/>
      </c>
      <c r="M35" s="112"/>
      <c r="N35" s="112"/>
      <c r="O35" s="121"/>
      <c r="P35" s="122" t="str">
        <f ca="1" t="shared" si="12"/>
        <v> </v>
      </c>
      <c r="Q35" s="160" t="str">
        <f ca="1" t="shared" si="8"/>
        <v> </v>
      </c>
      <c r="R35" s="41">
        <v>1</v>
      </c>
      <c r="S35" s="518" t="str">
        <f t="shared" si="9"/>
        <v> </v>
      </c>
      <c r="T35" s="519"/>
      <c r="U35" s="519"/>
      <c r="V35" s="519"/>
      <c r="W35" s="121"/>
      <c r="X35" s="121"/>
      <c r="Y35" s="121"/>
      <c r="Z35" s="122">
        <f t="shared" si="10"/>
      </c>
      <c r="AA35" s="160">
        <f ca="1" t="shared" si="13"/>
      </c>
      <c r="AK35" s="106"/>
      <c r="AL35" s="116"/>
    </row>
    <row r="36" spans="1:38" ht="12.75">
      <c r="A36" s="41">
        <v>1</v>
      </c>
      <c r="B36" s="518" t="str">
        <f t="shared" si="5"/>
        <v> </v>
      </c>
      <c r="C36" s="519"/>
      <c r="D36" s="519"/>
      <c r="E36" s="121"/>
      <c r="F36" s="121"/>
      <c r="G36" s="121"/>
      <c r="H36" s="122"/>
      <c r="I36" s="122">
        <f t="shared" si="11"/>
      </c>
      <c r="J36" s="160">
        <f ca="1" t="shared" si="6"/>
        <v>0</v>
      </c>
      <c r="L36" s="226">
        <f ca="1" t="shared" si="7"/>
      </c>
      <c r="M36" s="112"/>
      <c r="N36" s="112"/>
      <c r="O36" s="121"/>
      <c r="P36" s="122" t="str">
        <f ca="1" t="shared" si="12"/>
        <v> </v>
      </c>
      <c r="Q36" s="160" t="str">
        <f ca="1" t="shared" si="8"/>
        <v> </v>
      </c>
      <c r="R36" s="41">
        <v>1</v>
      </c>
      <c r="S36" s="518" t="str">
        <f t="shared" si="9"/>
        <v> </v>
      </c>
      <c r="T36" s="519"/>
      <c r="U36" s="519"/>
      <c r="V36" s="519"/>
      <c r="W36" s="121"/>
      <c r="X36" s="121"/>
      <c r="Y36" s="121"/>
      <c r="Z36" s="122">
        <f t="shared" si="10"/>
      </c>
      <c r="AA36" s="160">
        <f ca="1" t="shared" si="13"/>
      </c>
      <c r="AK36" s="106"/>
      <c r="AL36" s="116"/>
    </row>
    <row r="37" spans="1:38" ht="12.75">
      <c r="A37" s="41">
        <v>1</v>
      </c>
      <c r="B37" s="518" t="str">
        <f t="shared" si="5"/>
        <v> </v>
      </c>
      <c r="C37" s="519"/>
      <c r="D37" s="519"/>
      <c r="E37" s="121"/>
      <c r="F37" s="121"/>
      <c r="G37" s="121"/>
      <c r="H37" s="122"/>
      <c r="I37" s="122">
        <f t="shared" si="11"/>
      </c>
      <c r="J37" s="160">
        <f ca="1" t="shared" si="6"/>
        <v>0</v>
      </c>
      <c r="K37" s="214"/>
      <c r="L37" s="226">
        <f ca="1" t="shared" si="7"/>
      </c>
      <c r="M37" s="112"/>
      <c r="N37" s="112"/>
      <c r="O37" s="121"/>
      <c r="P37" s="122" t="str">
        <f ca="1" t="shared" si="12"/>
        <v> </v>
      </c>
      <c r="Q37" s="160" t="str">
        <f ca="1" t="shared" si="8"/>
        <v> </v>
      </c>
      <c r="R37" s="41">
        <v>1</v>
      </c>
      <c r="S37" s="518" t="str">
        <f t="shared" si="9"/>
        <v> </v>
      </c>
      <c r="T37" s="519"/>
      <c r="U37" s="519"/>
      <c r="V37" s="519"/>
      <c r="W37" s="121"/>
      <c r="X37" s="121"/>
      <c r="Y37" s="121"/>
      <c r="Z37" s="122">
        <f t="shared" si="10"/>
      </c>
      <c r="AA37" s="160">
        <f ca="1" t="shared" si="13"/>
      </c>
      <c r="AK37" s="106"/>
      <c r="AL37" s="116"/>
    </row>
    <row r="38" spans="1:38" ht="12.75">
      <c r="A38" s="41">
        <v>1</v>
      </c>
      <c r="B38" s="518" t="str">
        <f t="shared" si="5"/>
        <v> </v>
      </c>
      <c r="C38" s="519"/>
      <c r="D38" s="519"/>
      <c r="E38" s="121"/>
      <c r="F38" s="121"/>
      <c r="G38" s="121"/>
      <c r="H38" s="122"/>
      <c r="I38" s="122">
        <f t="shared" si="11"/>
      </c>
      <c r="J38" s="160">
        <f ca="1" t="shared" si="6"/>
        <v>0</v>
      </c>
      <c r="K38" s="214"/>
      <c r="L38" s="226">
        <f ca="1" t="shared" si="7"/>
      </c>
      <c r="M38" s="112"/>
      <c r="N38" s="112"/>
      <c r="O38" s="121"/>
      <c r="P38" s="122" t="str">
        <f ca="1" t="shared" si="12"/>
        <v> </v>
      </c>
      <c r="Q38" s="160" t="str">
        <f ca="1" t="shared" si="8"/>
        <v> </v>
      </c>
      <c r="R38" s="41">
        <v>1</v>
      </c>
      <c r="S38" s="518" t="str">
        <f t="shared" si="9"/>
        <v> </v>
      </c>
      <c r="T38" s="519"/>
      <c r="U38" s="519"/>
      <c r="V38" s="519"/>
      <c r="W38" s="121"/>
      <c r="X38" s="121"/>
      <c r="Y38" s="121"/>
      <c r="Z38" s="122">
        <f t="shared" si="10"/>
      </c>
      <c r="AA38" s="160">
        <f ca="1" t="shared" si="13"/>
      </c>
      <c r="AK38" s="106"/>
      <c r="AL38" s="116"/>
    </row>
    <row r="39" spans="1:38" ht="12.75">
      <c r="A39" s="41">
        <v>1</v>
      </c>
      <c r="B39" s="540" t="str">
        <f t="shared" si="5"/>
        <v> </v>
      </c>
      <c r="C39" s="517"/>
      <c r="D39" s="517"/>
      <c r="E39" s="121"/>
      <c r="F39" s="121"/>
      <c r="G39" s="121"/>
      <c r="H39" s="122"/>
      <c r="I39" s="122">
        <f t="shared" si="11"/>
      </c>
      <c r="J39" s="160" t="str">
        <f ca="1">IF(B39=" "," ",OFFSET(Cost_1_4,F39,0)-OFFSET(Cost_1_4,E39,0)+OFFSET(Cost_5_8,G39,0))</f>
        <v> </v>
      </c>
      <c r="K39" s="214"/>
      <c r="L39" s="226">
        <f ca="1" t="shared" si="7"/>
      </c>
      <c r="M39" s="112"/>
      <c r="N39" s="112"/>
      <c r="O39" s="121"/>
      <c r="P39" s="122" t="str">
        <f ca="1" t="shared" si="12"/>
        <v> </v>
      </c>
      <c r="Q39" s="160" t="str">
        <f ca="1" t="shared" si="8"/>
        <v> </v>
      </c>
      <c r="R39" s="41">
        <v>1</v>
      </c>
      <c r="S39" s="540" t="str">
        <f t="shared" si="9"/>
        <v> </v>
      </c>
      <c r="T39" s="517"/>
      <c r="U39" s="517"/>
      <c r="V39" s="517"/>
      <c r="W39" s="121"/>
      <c r="X39" s="121"/>
      <c r="Y39" s="121"/>
      <c r="Z39" s="122">
        <f t="shared" si="10"/>
      </c>
      <c r="AA39" s="160">
        <f ca="1" t="shared" si="13"/>
      </c>
      <c r="AK39" s="106"/>
      <c r="AL39" s="116"/>
    </row>
    <row r="40" spans="1:38" ht="12.75">
      <c r="A40" s="41">
        <v>2</v>
      </c>
      <c r="B40" s="538" t="str">
        <f t="shared" si="5"/>
        <v> </v>
      </c>
      <c r="C40" s="539"/>
      <c r="D40" s="539"/>
      <c r="E40" s="539"/>
      <c r="F40" s="121"/>
      <c r="G40" s="121"/>
      <c r="H40" s="121"/>
      <c r="I40" s="122">
        <f>IF(AND(B40&lt;&gt;" ",OR(F40&lt;1,H40&lt;&gt;"")),"Hidden","")</f>
      </c>
      <c r="J40" s="160" t="str">
        <f aca="true" ca="1" t="shared" si="14" ref="J40:J69">IF(B40=" "," ",OFFSET(Cost_1_4,F40,0)-OFFSET(Cost_1_4,E40,0)+OFFSET(Cost_5_8,G40,0))</f>
        <v> </v>
      </c>
      <c r="K40" s="214"/>
      <c r="L40" s="226">
        <f ca="1" t="shared" si="7"/>
      </c>
      <c r="M40" s="112"/>
      <c r="N40" s="112"/>
      <c r="O40" s="121"/>
      <c r="P40" s="122" t="str">
        <f ca="1" t="shared" si="12"/>
        <v> </v>
      </c>
      <c r="Q40" s="160" t="str">
        <f ca="1" t="shared" si="8"/>
        <v> </v>
      </c>
      <c r="R40" s="41">
        <v>2</v>
      </c>
      <c r="S40" s="538" t="str">
        <f t="shared" si="9"/>
        <v> </v>
      </c>
      <c r="T40" s="539"/>
      <c r="U40" s="539"/>
      <c r="V40" s="539"/>
      <c r="W40" s="121"/>
      <c r="X40" s="121"/>
      <c r="Y40" s="121"/>
      <c r="Z40" s="122">
        <f t="shared" si="10"/>
      </c>
      <c r="AA40" s="160">
        <f ca="1" t="shared" si="13"/>
      </c>
      <c r="AK40" s="106"/>
      <c r="AL40" s="116"/>
    </row>
    <row r="41" spans="1:38" ht="12.75">
      <c r="A41" s="41">
        <v>2</v>
      </c>
      <c r="B41" s="518" t="str">
        <f t="shared" si="5"/>
        <v> </v>
      </c>
      <c r="C41" s="519"/>
      <c r="D41" s="519"/>
      <c r="E41" s="519"/>
      <c r="F41" s="121"/>
      <c r="G41" s="121"/>
      <c r="H41" s="121"/>
      <c r="I41" s="122">
        <f aca="true" t="shared" si="15" ref="I41:I69">IF(AND(B41&lt;&gt;" ",OR(F41&lt;1,H41&lt;&gt;"")),"Hidden","")</f>
      </c>
      <c r="J41" s="160" t="str">
        <f ca="1" t="shared" si="14"/>
        <v> </v>
      </c>
      <c r="K41" s="214"/>
      <c r="L41" s="226">
        <f ca="1" t="shared" si="7"/>
      </c>
      <c r="M41" s="112"/>
      <c r="N41" s="112"/>
      <c r="O41" s="121"/>
      <c r="P41" s="122" t="str">
        <f ca="1" t="shared" si="12"/>
        <v> </v>
      </c>
      <c r="Q41" s="160" t="str">
        <f ca="1" t="shared" si="8"/>
        <v> </v>
      </c>
      <c r="R41" s="41">
        <v>2</v>
      </c>
      <c r="S41" s="518" t="str">
        <f t="shared" si="9"/>
        <v> </v>
      </c>
      <c r="T41" s="519"/>
      <c r="U41" s="519"/>
      <c r="V41" s="519"/>
      <c r="W41" s="121"/>
      <c r="X41" s="121"/>
      <c r="Y41" s="121"/>
      <c r="Z41" s="122">
        <f t="shared" si="10"/>
      </c>
      <c r="AA41" s="160">
        <f ca="1" t="shared" si="13"/>
      </c>
      <c r="AK41" s="106"/>
      <c r="AL41" s="116"/>
    </row>
    <row r="42" spans="1:38" ht="12.75">
      <c r="A42" s="41">
        <v>2</v>
      </c>
      <c r="B42" s="540" t="str">
        <f t="shared" si="5"/>
        <v> </v>
      </c>
      <c r="C42" s="517"/>
      <c r="D42" s="517"/>
      <c r="E42" s="517"/>
      <c r="F42" s="121"/>
      <c r="G42" s="121"/>
      <c r="H42" s="121"/>
      <c r="I42" s="122">
        <f t="shared" si="15"/>
      </c>
      <c r="J42" s="160" t="str">
        <f ca="1" t="shared" si="14"/>
        <v> </v>
      </c>
      <c r="K42" s="214"/>
      <c r="L42" s="226">
        <f ca="1" t="shared" si="7"/>
      </c>
      <c r="M42" s="112"/>
      <c r="N42" s="112"/>
      <c r="O42" s="121"/>
      <c r="P42" s="122" t="str">
        <f ca="1" t="shared" si="12"/>
        <v> </v>
      </c>
      <c r="Q42" s="160" t="str">
        <f ca="1" t="shared" si="8"/>
        <v> </v>
      </c>
      <c r="R42" s="41">
        <v>2</v>
      </c>
      <c r="S42" s="540" t="str">
        <f t="shared" si="9"/>
        <v> </v>
      </c>
      <c r="T42" s="517"/>
      <c r="U42" s="517"/>
      <c r="V42" s="517"/>
      <c r="W42" s="121"/>
      <c r="X42" s="121"/>
      <c r="Y42" s="121"/>
      <c r="Z42" s="122">
        <f t="shared" si="10"/>
      </c>
      <c r="AA42" s="160">
        <f ca="1" t="shared" si="13"/>
      </c>
      <c r="AK42" s="106"/>
      <c r="AL42" s="116"/>
    </row>
    <row r="43" spans="1:38" ht="12.75">
      <c r="A43" s="41">
        <v>3</v>
      </c>
      <c r="B43" s="538" t="str">
        <f t="shared" si="5"/>
        <v> </v>
      </c>
      <c r="C43" s="539"/>
      <c r="D43" s="539"/>
      <c r="E43" s="539"/>
      <c r="F43" s="121"/>
      <c r="G43" s="121"/>
      <c r="H43" s="121"/>
      <c r="I43" s="122">
        <f t="shared" si="15"/>
      </c>
      <c r="J43" s="160" t="str">
        <f ca="1" t="shared" si="14"/>
        <v> </v>
      </c>
      <c r="K43" s="214"/>
      <c r="L43" s="226">
        <f ca="1" t="shared" si="7"/>
      </c>
      <c r="M43" s="112"/>
      <c r="N43" s="112"/>
      <c r="O43" s="121"/>
      <c r="P43" s="122" t="str">
        <f ca="1" t="shared" si="12"/>
        <v> </v>
      </c>
      <c r="Q43" s="160" t="str">
        <f ca="1" t="shared" si="8"/>
        <v> </v>
      </c>
      <c r="R43" s="41">
        <v>3</v>
      </c>
      <c r="S43" s="538" t="str">
        <f t="shared" si="9"/>
        <v> </v>
      </c>
      <c r="T43" s="539"/>
      <c r="U43" s="539"/>
      <c r="V43" s="539"/>
      <c r="W43" s="121"/>
      <c r="X43" s="121"/>
      <c r="Y43" s="121"/>
      <c r="Z43" s="122">
        <f t="shared" si="10"/>
      </c>
      <c r="AA43" s="160">
        <f ca="1" t="shared" si="13"/>
      </c>
      <c r="AK43" s="106"/>
      <c r="AL43" s="116"/>
    </row>
    <row r="44" spans="1:38" ht="12.75">
      <c r="A44" s="41">
        <v>3</v>
      </c>
      <c r="B44" s="540" t="str">
        <f t="shared" si="5"/>
        <v> </v>
      </c>
      <c r="C44" s="517"/>
      <c r="D44" s="517"/>
      <c r="E44" s="517"/>
      <c r="F44" s="121"/>
      <c r="G44" s="121"/>
      <c r="H44" s="121"/>
      <c r="I44" s="122">
        <f t="shared" si="15"/>
      </c>
      <c r="J44" s="160" t="str">
        <f ca="1" t="shared" si="14"/>
        <v> </v>
      </c>
      <c r="K44" s="214"/>
      <c r="L44" s="226">
        <f ca="1" t="shared" si="7"/>
      </c>
      <c r="M44" s="112"/>
      <c r="N44" s="112"/>
      <c r="O44" s="121"/>
      <c r="P44" s="122" t="str">
        <f ca="1" t="shared" si="12"/>
        <v> </v>
      </c>
      <c r="Q44" s="160" t="str">
        <f ca="1" t="shared" si="8"/>
        <v> </v>
      </c>
      <c r="R44" s="41">
        <v>3</v>
      </c>
      <c r="S44" s="540" t="str">
        <f t="shared" si="9"/>
        <v> </v>
      </c>
      <c r="T44" s="517"/>
      <c r="U44" s="517"/>
      <c r="V44" s="517"/>
      <c r="W44" s="121"/>
      <c r="X44" s="121"/>
      <c r="Y44" s="121"/>
      <c r="Z44" s="122">
        <f t="shared" si="10"/>
      </c>
      <c r="AA44" s="160">
        <f ca="1" t="shared" si="13"/>
      </c>
      <c r="AK44" s="106"/>
      <c r="AL44" s="116"/>
    </row>
    <row r="45" spans="1:38" ht="12.75">
      <c r="A45" s="41">
        <v>4</v>
      </c>
      <c r="B45" s="538" t="str">
        <f t="shared" si="5"/>
        <v> </v>
      </c>
      <c r="C45" s="539"/>
      <c r="D45" s="539"/>
      <c r="E45" s="539"/>
      <c r="F45" s="121"/>
      <c r="G45" s="121"/>
      <c r="H45" s="121"/>
      <c r="I45" s="122">
        <f t="shared" si="15"/>
      </c>
      <c r="J45" s="160" t="str">
        <f ca="1" t="shared" si="14"/>
        <v> </v>
      </c>
      <c r="K45" s="214"/>
      <c r="L45" s="226">
        <f ca="1" t="shared" si="7"/>
      </c>
      <c r="M45" s="112"/>
      <c r="N45" s="112"/>
      <c r="O45" s="121"/>
      <c r="P45" s="122" t="str">
        <f ca="1" t="shared" si="12"/>
        <v> </v>
      </c>
      <c r="Q45" s="160" t="str">
        <f ca="1" t="shared" si="8"/>
        <v> </v>
      </c>
      <c r="R45" s="41">
        <v>4</v>
      </c>
      <c r="S45" s="538" t="str">
        <f t="shared" si="9"/>
        <v> </v>
      </c>
      <c r="T45" s="539"/>
      <c r="U45" s="539"/>
      <c r="V45" s="539"/>
      <c r="W45" s="121"/>
      <c r="X45" s="121"/>
      <c r="Y45" s="121"/>
      <c r="Z45" s="122">
        <f t="shared" si="10"/>
      </c>
      <c r="AA45" s="160">
        <f ca="1" t="shared" si="13"/>
      </c>
      <c r="AK45" s="106"/>
      <c r="AL45" s="116"/>
    </row>
    <row r="46" spans="1:38" ht="12.75">
      <c r="A46" s="41">
        <v>4</v>
      </c>
      <c r="B46" s="540" t="str">
        <f t="shared" si="5"/>
        <v> </v>
      </c>
      <c r="C46" s="517"/>
      <c r="D46" s="517"/>
      <c r="E46" s="517"/>
      <c r="F46" s="121"/>
      <c r="G46" s="121"/>
      <c r="H46" s="121"/>
      <c r="I46" s="122">
        <f t="shared" si="15"/>
      </c>
      <c r="J46" s="160" t="str">
        <f ca="1" t="shared" si="14"/>
        <v> </v>
      </c>
      <c r="K46" s="214"/>
      <c r="L46" s="226">
        <f ca="1" t="shared" si="7"/>
      </c>
      <c r="M46" s="112"/>
      <c r="N46" s="112"/>
      <c r="O46" s="121"/>
      <c r="P46" s="122" t="str">
        <f ca="1" t="shared" si="12"/>
        <v> </v>
      </c>
      <c r="Q46" s="160" t="str">
        <f ca="1" t="shared" si="8"/>
        <v> </v>
      </c>
      <c r="R46" s="41">
        <v>4</v>
      </c>
      <c r="S46" s="540" t="str">
        <f t="shared" si="9"/>
        <v> </v>
      </c>
      <c r="T46" s="517"/>
      <c r="U46" s="517"/>
      <c r="V46" s="517"/>
      <c r="W46" s="121"/>
      <c r="X46" s="121"/>
      <c r="Y46" s="121"/>
      <c r="Z46" s="122">
        <f t="shared" si="10"/>
      </c>
      <c r="AA46" s="160">
        <f ca="1" t="shared" si="13"/>
      </c>
      <c r="AK46" s="106"/>
      <c r="AL46" s="116"/>
    </row>
    <row r="47" spans="1:38" ht="12.75">
      <c r="A47" s="41">
        <v>5</v>
      </c>
      <c r="B47" s="538" t="str">
        <f t="shared" si="5"/>
        <v> </v>
      </c>
      <c r="C47" s="539"/>
      <c r="D47" s="539"/>
      <c r="E47" s="539"/>
      <c r="F47" s="121"/>
      <c r="G47" s="121"/>
      <c r="H47" s="121"/>
      <c r="I47" s="122">
        <f t="shared" si="15"/>
      </c>
      <c r="J47" s="160" t="str">
        <f ca="1" t="shared" si="14"/>
        <v> </v>
      </c>
      <c r="K47" s="214"/>
      <c r="L47" s="226">
        <f ca="1" t="shared" si="7"/>
      </c>
      <c r="M47" s="112"/>
      <c r="N47" s="112"/>
      <c r="O47" s="121"/>
      <c r="P47" s="122" t="str">
        <f ca="1" t="shared" si="12"/>
        <v> </v>
      </c>
      <c r="Q47" s="160" t="str">
        <f ca="1" t="shared" si="8"/>
        <v> </v>
      </c>
      <c r="R47" s="41">
        <v>5</v>
      </c>
      <c r="S47" s="538" t="str">
        <f t="shared" si="9"/>
        <v> </v>
      </c>
      <c r="T47" s="539"/>
      <c r="U47" s="539"/>
      <c r="V47" s="539"/>
      <c r="W47" s="121"/>
      <c r="X47" s="121"/>
      <c r="Y47" s="121"/>
      <c r="Z47" s="122">
        <f t="shared" si="10"/>
      </c>
      <c r="AA47" s="160">
        <f ca="1" t="shared" si="13"/>
      </c>
      <c r="AK47" s="106"/>
      <c r="AL47" s="116"/>
    </row>
    <row r="48" spans="1:38" ht="13.5" thickBot="1">
      <c r="A48" s="41">
        <v>5</v>
      </c>
      <c r="B48" s="540" t="str">
        <f t="shared" si="5"/>
        <v> </v>
      </c>
      <c r="C48" s="517"/>
      <c r="D48" s="517"/>
      <c r="E48" s="517"/>
      <c r="F48" s="121"/>
      <c r="G48" s="121"/>
      <c r="H48" s="121"/>
      <c r="I48" s="122">
        <f t="shared" si="15"/>
      </c>
      <c r="J48" s="160" t="str">
        <f ca="1" t="shared" si="14"/>
        <v> </v>
      </c>
      <c r="K48" s="214"/>
      <c r="L48" s="161">
        <f ca="1" t="shared" si="7"/>
      </c>
      <c r="M48" s="162"/>
      <c r="N48" s="162"/>
      <c r="O48" s="225"/>
      <c r="P48" s="163" t="str">
        <f ca="1" t="shared" si="12"/>
        <v> </v>
      </c>
      <c r="Q48" s="227" t="str">
        <f ca="1" t="shared" si="8"/>
        <v> </v>
      </c>
      <c r="R48" s="41">
        <v>5</v>
      </c>
      <c r="S48" s="540" t="str">
        <f t="shared" si="9"/>
        <v> </v>
      </c>
      <c r="T48" s="517"/>
      <c r="U48" s="517"/>
      <c r="V48" s="517"/>
      <c r="W48" s="121"/>
      <c r="X48" s="121"/>
      <c r="Y48" s="121"/>
      <c r="Z48" s="122">
        <f t="shared" si="10"/>
      </c>
      <c r="AA48" s="160">
        <f ca="1" t="shared" si="13"/>
      </c>
      <c r="AK48" s="106"/>
      <c r="AL48" s="116"/>
    </row>
    <row r="49" spans="1:38" ht="12.75">
      <c r="A49" s="41">
        <v>6</v>
      </c>
      <c r="B49" s="538" t="str">
        <f t="shared" si="5"/>
        <v> </v>
      </c>
      <c r="C49" s="539"/>
      <c r="D49" s="539"/>
      <c r="E49" s="539"/>
      <c r="F49" s="121"/>
      <c r="G49" s="121"/>
      <c r="H49" s="121"/>
      <c r="I49" s="122">
        <f t="shared" si="15"/>
      </c>
      <c r="J49" s="160" t="str">
        <f ca="1" t="shared" si="14"/>
        <v> </v>
      </c>
      <c r="K49" s="214"/>
      <c r="Q49" s="106"/>
      <c r="R49" s="41">
        <v>6</v>
      </c>
      <c r="S49" s="538" t="str">
        <f t="shared" si="9"/>
        <v> </v>
      </c>
      <c r="T49" s="539"/>
      <c r="U49" s="539"/>
      <c r="V49" s="539"/>
      <c r="W49" s="121"/>
      <c r="X49" s="121"/>
      <c r="Y49" s="121"/>
      <c r="Z49" s="122">
        <f t="shared" si="10"/>
      </c>
      <c r="AA49" s="160">
        <f ca="1" t="shared" si="13"/>
      </c>
      <c r="AK49" s="106"/>
      <c r="AL49" s="116"/>
    </row>
    <row r="50" spans="1:38" ht="13.5" thickBot="1">
      <c r="A50" s="41">
        <v>6</v>
      </c>
      <c r="B50" s="540" t="str">
        <f t="shared" si="5"/>
        <v> </v>
      </c>
      <c r="C50" s="517"/>
      <c r="D50" s="517"/>
      <c r="E50" s="517"/>
      <c r="F50" s="121"/>
      <c r="G50" s="121"/>
      <c r="H50" s="121"/>
      <c r="I50" s="122">
        <f t="shared" si="15"/>
      </c>
      <c r="J50" s="160" t="str">
        <f ca="1" t="shared" si="14"/>
        <v> </v>
      </c>
      <c r="R50" s="41">
        <v>6</v>
      </c>
      <c r="S50" s="540" t="str">
        <f t="shared" si="9"/>
        <v> </v>
      </c>
      <c r="T50" s="517"/>
      <c r="U50" s="517"/>
      <c r="V50" s="517"/>
      <c r="W50" s="121"/>
      <c r="X50" s="121"/>
      <c r="Y50" s="121"/>
      <c r="Z50" s="122">
        <f t="shared" si="10"/>
      </c>
      <c r="AA50" s="160">
        <f ca="1" t="shared" si="13"/>
      </c>
      <c r="AK50" s="106"/>
      <c r="AL50" s="116"/>
    </row>
    <row r="51" spans="1:38" ht="12.75">
      <c r="A51" s="41">
        <v>7</v>
      </c>
      <c r="B51" s="538" t="str">
        <f t="shared" si="5"/>
        <v> </v>
      </c>
      <c r="C51" s="539"/>
      <c r="D51" s="539"/>
      <c r="E51" s="539"/>
      <c r="F51" s="121"/>
      <c r="G51" s="121"/>
      <c r="H51" s="121"/>
      <c r="I51" s="122">
        <f t="shared" si="15"/>
      </c>
      <c r="J51" s="160" t="str">
        <f ca="1" t="shared" si="14"/>
        <v> </v>
      </c>
      <c r="L51" s="421">
        <f>IF(Race="Human","VERSATILITY","")</f>
      </c>
      <c r="M51" s="157"/>
      <c r="N51" s="157"/>
      <c r="O51" s="259">
        <f>IF(Race="Human","Rank","")</f>
      </c>
      <c r="P51" s="259"/>
      <c r="Q51" s="260" t="s">
        <v>1431</v>
      </c>
      <c r="R51" s="41">
        <v>7</v>
      </c>
      <c r="S51" s="538" t="str">
        <f t="shared" si="9"/>
        <v> </v>
      </c>
      <c r="T51" s="539"/>
      <c r="U51" s="539"/>
      <c r="V51" s="539"/>
      <c r="W51" s="121"/>
      <c r="X51" s="121"/>
      <c r="Y51" s="121"/>
      <c r="Z51" s="122">
        <f t="shared" si="10"/>
      </c>
      <c r="AA51" s="160">
        <f ca="1" t="shared" si="13"/>
      </c>
      <c r="AK51" s="106"/>
      <c r="AL51" s="116"/>
    </row>
    <row r="52" spans="1:38" ht="12.75">
      <c r="A52" s="41">
        <v>7</v>
      </c>
      <c r="B52" s="540" t="str">
        <f t="shared" si="5"/>
        <v> </v>
      </c>
      <c r="C52" s="517"/>
      <c r="D52" s="517"/>
      <c r="E52" s="517"/>
      <c r="F52" s="121"/>
      <c r="G52" s="121"/>
      <c r="H52" s="121"/>
      <c r="I52" s="122">
        <f t="shared" si="15"/>
      </c>
      <c r="J52" s="160" t="str">
        <f ca="1" t="shared" si="14"/>
        <v> </v>
      </c>
      <c r="L52" s="226">
        <f>IF(Race="Human","Versatility","")</f>
      </c>
      <c r="M52" s="112"/>
      <c r="N52" s="112"/>
      <c r="O52" s="121"/>
      <c r="P52" s="122"/>
      <c r="Q52" s="160">
        <f ca="1">IF(Race=Human,OFFSET(Cost_1_4,O52,0),"")</f>
      </c>
      <c r="R52" s="41">
        <v>7</v>
      </c>
      <c r="S52" s="540" t="str">
        <f t="shared" si="9"/>
        <v> </v>
      </c>
      <c r="T52" s="517"/>
      <c r="U52" s="517"/>
      <c r="V52" s="517"/>
      <c r="W52" s="121"/>
      <c r="X52" s="121"/>
      <c r="Y52" s="121"/>
      <c r="Z52" s="122">
        <f t="shared" si="10"/>
      </c>
      <c r="AA52" s="160">
        <f ca="1" t="shared" si="13"/>
      </c>
      <c r="AK52" s="106"/>
      <c r="AL52" s="116"/>
    </row>
    <row r="53" spans="1:38" ht="12.75">
      <c r="A53" s="41">
        <v>8</v>
      </c>
      <c r="B53" s="538" t="str">
        <f t="shared" si="5"/>
        <v> </v>
      </c>
      <c r="C53" s="539"/>
      <c r="D53" s="539"/>
      <c r="E53" s="539"/>
      <c r="F53" s="121"/>
      <c r="G53" s="121"/>
      <c r="H53" s="121"/>
      <c r="I53" s="122">
        <f t="shared" si="15"/>
      </c>
      <c r="J53" s="160" t="str">
        <f ca="1" t="shared" si="14"/>
        <v> </v>
      </c>
      <c r="L53" s="257">
        <f>IF(Race="Human","Versatility Talents","")</f>
      </c>
      <c r="M53" s="120"/>
      <c r="N53" s="120"/>
      <c r="O53" s="256">
        <f>IF(Race="Human","Rank","")</f>
      </c>
      <c r="P53" s="256">
        <f>IF(Race="Human","Thread","")</f>
      </c>
      <c r="Q53" s="258" t="s">
        <v>1431</v>
      </c>
      <c r="R53" s="41">
        <v>8</v>
      </c>
      <c r="S53" s="538" t="str">
        <f t="shared" si="9"/>
        <v> </v>
      </c>
      <c r="T53" s="539"/>
      <c r="U53" s="539"/>
      <c r="V53" s="539"/>
      <c r="W53" s="121"/>
      <c r="X53" s="121"/>
      <c r="Y53" s="121"/>
      <c r="Z53" s="122">
        <f t="shared" si="10"/>
      </c>
      <c r="AA53" s="160">
        <f ca="1" t="shared" si="13"/>
      </c>
      <c r="AK53" s="106"/>
      <c r="AL53" s="116"/>
    </row>
    <row r="54" spans="1:38" ht="12.75">
      <c r="A54" s="41">
        <v>8</v>
      </c>
      <c r="B54" s="540" t="str">
        <f t="shared" si="5"/>
        <v> </v>
      </c>
      <c r="C54" s="517"/>
      <c r="D54" s="517"/>
      <c r="E54" s="517"/>
      <c r="F54" s="121"/>
      <c r="G54" s="121"/>
      <c r="H54" s="121"/>
      <c r="I54" s="122">
        <f t="shared" si="15"/>
      </c>
      <c r="J54" s="160" t="str">
        <f ca="1" t="shared" si="14"/>
        <v> </v>
      </c>
      <c r="L54" s="243"/>
      <c r="M54" s="245"/>
      <c r="N54" s="245"/>
      <c r="O54" s="121"/>
      <c r="P54" s="121"/>
      <c r="Q54" s="160" t="str">
        <f aca="true" ca="1" t="shared" si="16" ref="Q54:Q68">IF(OR(Race&lt;&gt;Human,L54="",O$52&lt;BQ499)," ",OFFSET(Cost_1_4,O54,0)+OFFSET(Cost_5_8,P54,0))</f>
        <v> </v>
      </c>
      <c r="R54" s="41">
        <v>8</v>
      </c>
      <c r="S54" s="540" t="str">
        <f t="shared" si="9"/>
        <v> </v>
      </c>
      <c r="T54" s="517"/>
      <c r="U54" s="517"/>
      <c r="V54" s="517"/>
      <c r="W54" s="121"/>
      <c r="X54" s="121"/>
      <c r="Y54" s="121"/>
      <c r="Z54" s="122">
        <f t="shared" si="10"/>
      </c>
      <c r="AA54" s="160">
        <f ca="1" t="shared" si="13"/>
      </c>
      <c r="AK54" s="106"/>
      <c r="AL54" s="116"/>
    </row>
    <row r="55" spans="1:38" ht="12.75">
      <c r="A55" s="41">
        <v>9</v>
      </c>
      <c r="B55" s="538" t="str">
        <f t="shared" si="5"/>
        <v> </v>
      </c>
      <c r="C55" s="539"/>
      <c r="D55" s="539"/>
      <c r="E55" s="539"/>
      <c r="F55" s="121"/>
      <c r="G55" s="121"/>
      <c r="H55" s="121"/>
      <c r="I55" s="122">
        <f t="shared" si="15"/>
      </c>
      <c r="J55" s="160" t="str">
        <f ca="1" t="shared" si="14"/>
        <v> </v>
      </c>
      <c r="L55" s="243"/>
      <c r="M55" s="245"/>
      <c r="N55" s="245"/>
      <c r="O55" s="121"/>
      <c r="P55" s="121"/>
      <c r="Q55" s="160" t="str">
        <f ca="1" t="shared" si="16"/>
        <v> </v>
      </c>
      <c r="R55" s="41">
        <v>9</v>
      </c>
      <c r="S55" s="538" t="str">
        <f t="shared" si="9"/>
        <v> </v>
      </c>
      <c r="T55" s="539"/>
      <c r="U55" s="539"/>
      <c r="V55" s="539"/>
      <c r="W55" s="121"/>
      <c r="X55" s="121"/>
      <c r="Y55" s="121"/>
      <c r="Z55" s="122">
        <f t="shared" si="10"/>
      </c>
      <c r="AA55" s="160">
        <f ca="1" t="shared" si="13"/>
      </c>
      <c r="AK55" s="106"/>
      <c r="AL55" s="116"/>
    </row>
    <row r="56" spans="1:38" ht="12.75">
      <c r="A56" s="41">
        <v>9</v>
      </c>
      <c r="B56" s="518" t="str">
        <f t="shared" si="5"/>
        <v> </v>
      </c>
      <c r="C56" s="519"/>
      <c r="D56" s="519"/>
      <c r="E56" s="519"/>
      <c r="F56" s="121"/>
      <c r="G56" s="121"/>
      <c r="H56" s="121"/>
      <c r="I56" s="122">
        <f t="shared" si="15"/>
      </c>
      <c r="J56" s="160" t="str">
        <f ca="1" t="shared" si="14"/>
        <v> </v>
      </c>
      <c r="L56" s="243"/>
      <c r="M56" s="245"/>
      <c r="N56" s="245"/>
      <c r="O56" s="121"/>
      <c r="P56" s="121"/>
      <c r="Q56" s="160" t="str">
        <f ca="1" t="shared" si="16"/>
        <v> </v>
      </c>
      <c r="R56" s="41">
        <v>9</v>
      </c>
      <c r="S56" s="518" t="str">
        <f t="shared" si="9"/>
        <v> </v>
      </c>
      <c r="T56" s="519"/>
      <c r="U56" s="519"/>
      <c r="V56" s="519"/>
      <c r="W56" s="121"/>
      <c r="X56" s="121"/>
      <c r="Y56" s="121"/>
      <c r="Z56" s="122">
        <f t="shared" si="10"/>
      </c>
      <c r="AA56" s="160">
        <f ca="1" t="shared" si="13"/>
      </c>
      <c r="AK56" s="106"/>
      <c r="AL56" s="116"/>
    </row>
    <row r="57" spans="1:38" ht="12.75">
      <c r="A57" s="41">
        <v>9</v>
      </c>
      <c r="B57" s="540" t="str">
        <f t="shared" si="5"/>
        <v> </v>
      </c>
      <c r="C57" s="517"/>
      <c r="D57" s="517"/>
      <c r="E57" s="517"/>
      <c r="F57" s="121"/>
      <c r="G57" s="121"/>
      <c r="H57" s="121"/>
      <c r="I57" s="122">
        <f t="shared" si="15"/>
      </c>
      <c r="J57" s="160" t="str">
        <f ca="1" t="shared" si="14"/>
        <v> </v>
      </c>
      <c r="L57" s="243"/>
      <c r="M57" s="245"/>
      <c r="N57" s="245"/>
      <c r="O57" s="121"/>
      <c r="P57" s="121"/>
      <c r="Q57" s="160" t="str">
        <f ca="1" t="shared" si="16"/>
        <v> </v>
      </c>
      <c r="R57" s="41">
        <v>9</v>
      </c>
      <c r="S57" s="540" t="str">
        <f t="shared" si="9"/>
        <v> </v>
      </c>
      <c r="T57" s="517"/>
      <c r="U57" s="517"/>
      <c r="V57" s="517"/>
      <c r="W57" s="121"/>
      <c r="X57" s="121"/>
      <c r="Y57" s="121"/>
      <c r="Z57" s="122">
        <f t="shared" si="10"/>
      </c>
      <c r="AA57" s="160">
        <f ca="1" t="shared" si="13"/>
      </c>
      <c r="AK57" s="106"/>
      <c r="AL57" s="116"/>
    </row>
    <row r="58" spans="1:38" ht="12.75">
      <c r="A58" s="41">
        <v>10</v>
      </c>
      <c r="B58" s="538" t="str">
        <f t="shared" si="5"/>
        <v> </v>
      </c>
      <c r="C58" s="539"/>
      <c r="D58" s="539"/>
      <c r="E58" s="539"/>
      <c r="F58" s="121"/>
      <c r="G58" s="121"/>
      <c r="H58" s="121"/>
      <c r="I58" s="122">
        <f t="shared" si="15"/>
      </c>
      <c r="J58" s="160" t="str">
        <f ca="1" t="shared" si="14"/>
        <v> </v>
      </c>
      <c r="L58" s="243"/>
      <c r="M58" s="245"/>
      <c r="N58" s="245"/>
      <c r="O58" s="121"/>
      <c r="P58" s="121"/>
      <c r="Q58" s="160" t="str">
        <f ca="1" t="shared" si="16"/>
        <v> </v>
      </c>
      <c r="R58" s="41">
        <v>10</v>
      </c>
      <c r="S58" s="538" t="str">
        <f t="shared" si="9"/>
        <v> </v>
      </c>
      <c r="T58" s="539"/>
      <c r="U58" s="539"/>
      <c r="V58" s="539"/>
      <c r="W58" s="121"/>
      <c r="X58" s="121"/>
      <c r="Y58" s="121"/>
      <c r="Z58" s="122">
        <f t="shared" si="10"/>
      </c>
      <c r="AA58" s="160">
        <f ca="1" t="shared" si="13"/>
      </c>
      <c r="AK58" s="106"/>
      <c r="AL58" s="116"/>
    </row>
    <row r="59" spans="1:38" ht="12.75">
      <c r="A59" s="41">
        <v>10</v>
      </c>
      <c r="B59" s="540" t="str">
        <f t="shared" si="5"/>
        <v> </v>
      </c>
      <c r="C59" s="517"/>
      <c r="D59" s="517"/>
      <c r="E59" s="517"/>
      <c r="F59" s="121"/>
      <c r="G59" s="121"/>
      <c r="H59" s="121"/>
      <c r="I59" s="122">
        <f t="shared" si="15"/>
      </c>
      <c r="J59" s="160" t="str">
        <f ca="1" t="shared" si="14"/>
        <v> </v>
      </c>
      <c r="L59" s="243"/>
      <c r="M59" s="245"/>
      <c r="N59" s="245"/>
      <c r="O59" s="121"/>
      <c r="P59" s="121"/>
      <c r="Q59" s="160" t="str">
        <f ca="1" t="shared" si="16"/>
        <v> </v>
      </c>
      <c r="R59" s="41">
        <v>10</v>
      </c>
      <c r="S59" s="540" t="str">
        <f t="shared" si="9"/>
        <v> </v>
      </c>
      <c r="T59" s="517"/>
      <c r="U59" s="517"/>
      <c r="V59" s="517"/>
      <c r="W59" s="121"/>
      <c r="X59" s="121"/>
      <c r="Y59" s="121"/>
      <c r="Z59" s="122">
        <f t="shared" si="10"/>
      </c>
      <c r="AA59" s="160">
        <f ca="1" t="shared" si="13"/>
      </c>
      <c r="AK59" s="106"/>
      <c r="AL59" s="116"/>
    </row>
    <row r="60" spans="1:38" ht="12.75">
      <c r="A60" s="41">
        <v>11</v>
      </c>
      <c r="B60" s="538" t="str">
        <f t="shared" si="5"/>
        <v> </v>
      </c>
      <c r="C60" s="539"/>
      <c r="D60" s="539"/>
      <c r="E60" s="539"/>
      <c r="F60" s="121"/>
      <c r="G60" s="121"/>
      <c r="H60" s="121"/>
      <c r="I60" s="122">
        <f t="shared" si="15"/>
      </c>
      <c r="J60" s="160" t="str">
        <f ca="1" t="shared" si="14"/>
        <v> </v>
      </c>
      <c r="L60" s="243"/>
      <c r="M60" s="245"/>
      <c r="N60" s="245"/>
      <c r="O60" s="121"/>
      <c r="P60" s="121"/>
      <c r="Q60" s="160" t="str">
        <f ca="1" t="shared" si="16"/>
        <v> </v>
      </c>
      <c r="R60" s="41">
        <v>11</v>
      </c>
      <c r="S60" s="538" t="str">
        <f t="shared" si="9"/>
        <v> </v>
      </c>
      <c r="T60" s="539"/>
      <c r="U60" s="539"/>
      <c r="V60" s="539"/>
      <c r="W60" s="121"/>
      <c r="X60" s="121"/>
      <c r="Y60" s="121"/>
      <c r="Z60" s="122">
        <f t="shared" si="10"/>
      </c>
      <c r="AA60" s="160">
        <f ca="1" t="shared" si="13"/>
      </c>
      <c r="AK60" s="106"/>
      <c r="AL60" s="116"/>
    </row>
    <row r="61" spans="1:38" ht="12.75">
      <c r="A61" s="41">
        <v>11</v>
      </c>
      <c r="B61" s="540" t="str">
        <f t="shared" si="5"/>
        <v> </v>
      </c>
      <c r="C61" s="517"/>
      <c r="D61" s="517"/>
      <c r="E61" s="517"/>
      <c r="F61" s="121"/>
      <c r="G61" s="121"/>
      <c r="H61" s="121"/>
      <c r="I61" s="122">
        <f t="shared" si="15"/>
      </c>
      <c r="J61" s="160" t="str">
        <f ca="1" t="shared" si="14"/>
        <v> </v>
      </c>
      <c r="L61" s="243"/>
      <c r="M61" s="245"/>
      <c r="N61" s="245"/>
      <c r="O61" s="121"/>
      <c r="P61" s="121"/>
      <c r="Q61" s="160" t="str">
        <f ca="1" t="shared" si="16"/>
        <v> </v>
      </c>
      <c r="R61" s="41">
        <v>11</v>
      </c>
      <c r="S61" s="540" t="str">
        <f t="shared" si="9"/>
        <v> </v>
      </c>
      <c r="T61" s="517"/>
      <c r="U61" s="517"/>
      <c r="V61" s="517"/>
      <c r="W61" s="121"/>
      <c r="X61" s="121"/>
      <c r="Y61" s="121"/>
      <c r="Z61" s="122">
        <f t="shared" si="10"/>
      </c>
      <c r="AA61" s="160">
        <f ca="1" t="shared" si="13"/>
      </c>
      <c r="AK61" s="106"/>
      <c r="AL61" s="116"/>
    </row>
    <row r="62" spans="1:38" ht="12.75">
      <c r="A62" s="41">
        <v>12</v>
      </c>
      <c r="B62" s="538" t="str">
        <f t="shared" si="5"/>
        <v> </v>
      </c>
      <c r="C62" s="539"/>
      <c r="D62" s="539"/>
      <c r="E62" s="539"/>
      <c r="F62" s="121"/>
      <c r="G62" s="121"/>
      <c r="H62" s="121"/>
      <c r="I62" s="122">
        <f t="shared" si="15"/>
      </c>
      <c r="J62" s="160" t="str">
        <f ca="1" t="shared" si="14"/>
        <v> </v>
      </c>
      <c r="L62" s="243"/>
      <c r="M62" s="245"/>
      <c r="N62" s="245"/>
      <c r="O62" s="121"/>
      <c r="P62" s="121"/>
      <c r="Q62" s="160" t="str">
        <f ca="1" t="shared" si="16"/>
        <v> </v>
      </c>
      <c r="R62" s="41">
        <v>12</v>
      </c>
      <c r="S62" s="538" t="str">
        <f t="shared" si="9"/>
        <v> </v>
      </c>
      <c r="T62" s="539"/>
      <c r="U62" s="539"/>
      <c r="V62" s="539"/>
      <c r="W62" s="121"/>
      <c r="X62" s="121"/>
      <c r="Y62" s="121"/>
      <c r="Z62" s="122">
        <f t="shared" si="10"/>
      </c>
      <c r="AA62" s="160">
        <f ca="1" t="shared" si="13"/>
      </c>
      <c r="AK62" s="106"/>
      <c r="AL62" s="116"/>
    </row>
    <row r="63" spans="1:38" ht="12.75">
      <c r="A63" s="41">
        <v>12</v>
      </c>
      <c r="B63" s="540" t="str">
        <f t="shared" si="5"/>
        <v> </v>
      </c>
      <c r="C63" s="517"/>
      <c r="D63" s="517"/>
      <c r="E63" s="517"/>
      <c r="F63" s="121"/>
      <c r="G63" s="121"/>
      <c r="H63" s="121"/>
      <c r="I63" s="122">
        <f t="shared" si="15"/>
      </c>
      <c r="J63" s="160" t="str">
        <f ca="1" t="shared" si="14"/>
        <v> </v>
      </c>
      <c r="L63" s="243"/>
      <c r="M63" s="245"/>
      <c r="N63" s="245"/>
      <c r="O63" s="121"/>
      <c r="P63" s="121"/>
      <c r="Q63" s="160" t="str">
        <f ca="1" t="shared" si="16"/>
        <v> </v>
      </c>
      <c r="R63" s="41">
        <v>12</v>
      </c>
      <c r="S63" s="540" t="str">
        <f t="shared" si="9"/>
        <v> </v>
      </c>
      <c r="T63" s="517"/>
      <c r="U63" s="517"/>
      <c r="V63" s="517"/>
      <c r="W63" s="121"/>
      <c r="X63" s="121"/>
      <c r="Y63" s="121"/>
      <c r="Z63" s="122">
        <f t="shared" si="10"/>
      </c>
      <c r="AA63" s="160">
        <f ca="1" t="shared" si="13"/>
      </c>
      <c r="AK63" s="106"/>
      <c r="AL63" s="116"/>
    </row>
    <row r="64" spans="1:38" ht="12.75">
      <c r="A64" s="41">
        <v>13</v>
      </c>
      <c r="B64" s="538" t="str">
        <f t="shared" si="5"/>
        <v> </v>
      </c>
      <c r="C64" s="539"/>
      <c r="D64" s="539"/>
      <c r="E64" s="539"/>
      <c r="F64" s="121"/>
      <c r="G64" s="121"/>
      <c r="H64" s="121"/>
      <c r="I64" s="122">
        <f t="shared" si="15"/>
      </c>
      <c r="J64" s="160" t="str">
        <f ca="1" t="shared" si="14"/>
        <v> </v>
      </c>
      <c r="L64" s="243"/>
      <c r="M64" s="245"/>
      <c r="N64" s="245"/>
      <c r="O64" s="121"/>
      <c r="P64" s="121"/>
      <c r="Q64" s="160" t="str">
        <f ca="1" t="shared" si="16"/>
        <v> </v>
      </c>
      <c r="R64" s="41">
        <v>13</v>
      </c>
      <c r="S64" s="538" t="str">
        <f t="shared" si="9"/>
        <v> </v>
      </c>
      <c r="T64" s="539"/>
      <c r="U64" s="539"/>
      <c r="V64" s="539"/>
      <c r="W64" s="121"/>
      <c r="X64" s="121"/>
      <c r="Y64" s="121"/>
      <c r="Z64" s="122">
        <f t="shared" si="10"/>
      </c>
      <c r="AA64" s="160">
        <f ca="1" t="shared" si="13"/>
      </c>
      <c r="AK64" s="106"/>
      <c r="AL64" s="116"/>
    </row>
    <row r="65" spans="1:38" ht="12.75">
      <c r="A65" s="41">
        <v>13</v>
      </c>
      <c r="B65" s="540" t="str">
        <f t="shared" si="5"/>
        <v> </v>
      </c>
      <c r="C65" s="517"/>
      <c r="D65" s="517"/>
      <c r="E65" s="517"/>
      <c r="F65" s="121"/>
      <c r="G65" s="121"/>
      <c r="H65" s="121"/>
      <c r="I65" s="122">
        <f t="shared" si="15"/>
      </c>
      <c r="J65" s="160" t="str">
        <f ca="1" t="shared" si="14"/>
        <v> </v>
      </c>
      <c r="L65" s="243"/>
      <c r="M65" s="245"/>
      <c r="N65" s="245"/>
      <c r="O65" s="121"/>
      <c r="P65" s="121"/>
      <c r="Q65" s="160" t="str">
        <f ca="1" t="shared" si="16"/>
        <v> </v>
      </c>
      <c r="R65" s="41">
        <v>13</v>
      </c>
      <c r="S65" s="540" t="str">
        <f t="shared" si="9"/>
        <v> </v>
      </c>
      <c r="T65" s="517"/>
      <c r="U65" s="517"/>
      <c r="V65" s="517"/>
      <c r="W65" s="121"/>
      <c r="X65" s="121"/>
      <c r="Y65" s="121"/>
      <c r="Z65" s="122">
        <f t="shared" si="10"/>
      </c>
      <c r="AA65" s="160">
        <f ca="1" t="shared" si="13"/>
      </c>
      <c r="AK65" s="106"/>
      <c r="AL65" s="116"/>
    </row>
    <row r="66" spans="1:38" ht="12.75">
      <c r="A66" s="41">
        <v>14</v>
      </c>
      <c r="B66" s="538" t="str">
        <f t="shared" si="5"/>
        <v> </v>
      </c>
      <c r="C66" s="539"/>
      <c r="D66" s="539"/>
      <c r="E66" s="539"/>
      <c r="F66" s="121"/>
      <c r="G66" s="121"/>
      <c r="H66" s="121"/>
      <c r="I66" s="122">
        <f t="shared" si="15"/>
      </c>
      <c r="J66" s="160" t="str">
        <f ca="1" t="shared" si="14"/>
        <v> </v>
      </c>
      <c r="L66" s="243"/>
      <c r="M66" s="245"/>
      <c r="N66" s="245"/>
      <c r="O66" s="121"/>
      <c r="P66" s="121"/>
      <c r="Q66" s="160" t="str">
        <f ca="1" t="shared" si="16"/>
        <v> </v>
      </c>
      <c r="R66" s="41">
        <v>14</v>
      </c>
      <c r="S66" s="538" t="str">
        <f t="shared" si="9"/>
        <v> </v>
      </c>
      <c r="T66" s="539"/>
      <c r="U66" s="539"/>
      <c r="V66" s="539"/>
      <c r="W66" s="121"/>
      <c r="X66" s="121"/>
      <c r="Y66" s="121"/>
      <c r="Z66" s="122">
        <f t="shared" si="10"/>
      </c>
      <c r="AA66" s="160">
        <f ca="1" t="shared" si="13"/>
      </c>
      <c r="AK66" s="106"/>
      <c r="AL66" s="116"/>
    </row>
    <row r="67" spans="1:38" ht="12.75">
      <c r="A67" s="41">
        <v>14</v>
      </c>
      <c r="B67" s="540" t="str">
        <f t="shared" si="5"/>
        <v> </v>
      </c>
      <c r="C67" s="517"/>
      <c r="D67" s="517"/>
      <c r="E67" s="517"/>
      <c r="F67" s="121"/>
      <c r="G67" s="121"/>
      <c r="H67" s="121"/>
      <c r="I67" s="122">
        <f t="shared" si="15"/>
      </c>
      <c r="J67" s="160" t="str">
        <f ca="1" t="shared" si="14"/>
        <v> </v>
      </c>
      <c r="L67" s="243"/>
      <c r="M67" s="245"/>
      <c r="N67" s="245"/>
      <c r="O67" s="121"/>
      <c r="P67" s="121"/>
      <c r="Q67" s="160" t="str">
        <f ca="1" t="shared" si="16"/>
        <v> </v>
      </c>
      <c r="R67" s="41">
        <v>14</v>
      </c>
      <c r="S67" s="540" t="str">
        <f t="shared" si="9"/>
        <v> </v>
      </c>
      <c r="T67" s="517"/>
      <c r="U67" s="517"/>
      <c r="V67" s="517"/>
      <c r="W67" s="121"/>
      <c r="X67" s="121"/>
      <c r="Y67" s="121"/>
      <c r="Z67" s="122">
        <f t="shared" si="10"/>
      </c>
      <c r="AA67" s="160">
        <f ca="1" t="shared" si="13"/>
      </c>
      <c r="AK67" s="106"/>
      <c r="AL67" s="116"/>
    </row>
    <row r="68" spans="1:38" ht="13.5" thickBot="1">
      <c r="A68" s="41">
        <v>15</v>
      </c>
      <c r="B68" s="538" t="str">
        <f t="shared" si="5"/>
        <v> </v>
      </c>
      <c r="C68" s="539"/>
      <c r="D68" s="539"/>
      <c r="E68" s="539"/>
      <c r="F68" s="121"/>
      <c r="G68" s="121"/>
      <c r="H68" s="121"/>
      <c r="I68" s="122">
        <f t="shared" si="15"/>
      </c>
      <c r="J68" s="160" t="str">
        <f ca="1" t="shared" si="14"/>
        <v> </v>
      </c>
      <c r="L68" s="240"/>
      <c r="M68" s="241"/>
      <c r="N68" s="241"/>
      <c r="O68" s="225"/>
      <c r="P68" s="225"/>
      <c r="Q68" s="227" t="str">
        <f ca="1" t="shared" si="16"/>
        <v> </v>
      </c>
      <c r="R68" s="41">
        <v>15</v>
      </c>
      <c r="S68" s="538" t="str">
        <f t="shared" si="9"/>
        <v> </v>
      </c>
      <c r="T68" s="539"/>
      <c r="U68" s="539"/>
      <c r="V68" s="539"/>
      <c r="W68" s="121"/>
      <c r="X68" s="121"/>
      <c r="Y68" s="121"/>
      <c r="Z68" s="122">
        <f t="shared" si="10"/>
      </c>
      <c r="AA68" s="160">
        <f ca="1" t="shared" si="13"/>
      </c>
      <c r="AK68" s="106"/>
      <c r="AL68" s="116"/>
    </row>
    <row r="69" spans="1:38" ht="13.5" thickBot="1">
      <c r="A69" s="41">
        <v>15</v>
      </c>
      <c r="B69" s="536" t="str">
        <f t="shared" si="5"/>
        <v> </v>
      </c>
      <c r="C69" s="537"/>
      <c r="D69" s="537"/>
      <c r="E69" s="537"/>
      <c r="F69" s="225"/>
      <c r="G69" s="225"/>
      <c r="H69" s="225"/>
      <c r="I69" s="163">
        <f t="shared" si="15"/>
      </c>
      <c r="J69" s="227" t="str">
        <f ca="1" t="shared" si="14"/>
        <v> </v>
      </c>
      <c r="R69" s="41">
        <v>15</v>
      </c>
      <c r="S69" s="536" t="str">
        <f t="shared" si="9"/>
        <v> </v>
      </c>
      <c r="T69" s="537"/>
      <c r="U69" s="537"/>
      <c r="V69" s="537"/>
      <c r="W69" s="225"/>
      <c r="X69" s="225"/>
      <c r="Y69" s="225"/>
      <c r="Z69" s="163">
        <f t="shared" si="10"/>
      </c>
      <c r="AA69" s="227">
        <f ca="1" t="shared" si="13"/>
      </c>
      <c r="AK69" s="106"/>
      <c r="AL69" s="116"/>
    </row>
    <row r="70" spans="20:39" ht="12.75">
      <c r="T70" s="106"/>
      <c r="AA70" s="106"/>
      <c r="AL70" s="106"/>
      <c r="AM70" s="116"/>
    </row>
    <row r="71" spans="20:27" ht="13.5" thickBot="1">
      <c r="T71" s="355"/>
      <c r="U71" s="116"/>
      <c r="V71" s="116"/>
      <c r="W71" s="116"/>
      <c r="X71" s="116"/>
      <c r="Y71" s="116"/>
      <c r="Z71" s="116"/>
      <c r="AA71" s="106"/>
    </row>
    <row r="72" spans="2:24" ht="12.75">
      <c r="B72" s="421" t="s">
        <v>1195</v>
      </c>
      <c r="C72" s="157"/>
      <c r="D72" s="157"/>
      <c r="E72" s="157"/>
      <c r="F72" s="261" t="s">
        <v>2419</v>
      </c>
      <c r="G72" s="261" t="s">
        <v>2525</v>
      </c>
      <c r="H72" s="533" t="s">
        <v>1735</v>
      </c>
      <c r="I72" s="535"/>
      <c r="K72" s="421" t="s">
        <v>1197</v>
      </c>
      <c r="L72" s="157"/>
      <c r="M72" s="157"/>
      <c r="N72" s="157"/>
      <c r="O72" s="261" t="s">
        <v>2419</v>
      </c>
      <c r="P72" s="261" t="s">
        <v>2525</v>
      </c>
      <c r="Q72" s="533" t="s">
        <v>1735</v>
      </c>
      <c r="R72" s="535"/>
      <c r="T72" s="549" t="s">
        <v>1204</v>
      </c>
      <c r="U72" s="550"/>
      <c r="V72" s="550"/>
      <c r="W72" s="261" t="s">
        <v>2419</v>
      </c>
      <c r="X72" s="260" t="s">
        <v>2525</v>
      </c>
    </row>
    <row r="73" spans="2:24" ht="12.75">
      <c r="B73" s="226" t="s">
        <v>1084</v>
      </c>
      <c r="C73" s="112"/>
      <c r="D73" s="112"/>
      <c r="E73" s="112"/>
      <c r="F73" s="121"/>
      <c r="G73" s="122" t="s">
        <v>2393</v>
      </c>
      <c r="H73" s="557"/>
      <c r="I73" s="558"/>
      <c r="K73" s="226" t="s">
        <v>1082</v>
      </c>
      <c r="L73" s="112"/>
      <c r="M73" s="112"/>
      <c r="N73" s="112"/>
      <c r="O73" s="121"/>
      <c r="P73" s="122" t="s">
        <v>2390</v>
      </c>
      <c r="Q73" s="557"/>
      <c r="R73" s="558"/>
      <c r="T73" s="559" t="s">
        <v>2611</v>
      </c>
      <c r="U73" s="560"/>
      <c r="V73" s="560"/>
      <c r="W73" s="121"/>
      <c r="X73" s="160" t="s">
        <v>2394</v>
      </c>
    </row>
    <row r="74" spans="2:24" ht="12.75">
      <c r="B74" s="226" t="s">
        <v>1085</v>
      </c>
      <c r="C74" s="112"/>
      <c r="D74" s="112"/>
      <c r="E74" s="112"/>
      <c r="F74" s="121"/>
      <c r="G74" s="122" t="s">
        <v>2393</v>
      </c>
      <c r="H74" s="557"/>
      <c r="I74" s="558"/>
      <c r="K74" s="226" t="s">
        <v>1086</v>
      </c>
      <c r="L74" s="112"/>
      <c r="M74" s="112"/>
      <c r="N74" s="112"/>
      <c r="O74" s="121"/>
      <c r="P74" s="122" t="s">
        <v>2394</v>
      </c>
      <c r="Q74" s="557"/>
      <c r="R74" s="558"/>
      <c r="T74" s="559" t="s">
        <v>163</v>
      </c>
      <c r="U74" s="560"/>
      <c r="V74" s="560"/>
      <c r="W74" s="121"/>
      <c r="X74" s="160" t="s">
        <v>2393</v>
      </c>
    </row>
    <row r="75" spans="2:24" ht="12.75">
      <c r="B75" s="226" t="s">
        <v>1087</v>
      </c>
      <c r="C75" s="112"/>
      <c r="D75" s="112"/>
      <c r="E75" s="112"/>
      <c r="F75" s="121"/>
      <c r="G75" s="122" t="s">
        <v>2393</v>
      </c>
      <c r="H75" s="557"/>
      <c r="I75" s="558"/>
      <c r="K75" s="226" t="s">
        <v>1091</v>
      </c>
      <c r="L75" s="112"/>
      <c r="M75" s="112"/>
      <c r="N75" s="112"/>
      <c r="O75" s="121"/>
      <c r="P75" s="122" t="s">
        <v>2395</v>
      </c>
      <c r="Q75" s="557"/>
      <c r="R75" s="558"/>
      <c r="T75" s="559" t="s">
        <v>2610</v>
      </c>
      <c r="U75" s="560"/>
      <c r="V75" s="560"/>
      <c r="W75" s="121"/>
      <c r="X75" s="160" t="s">
        <v>2395</v>
      </c>
    </row>
    <row r="76" spans="2:24" ht="12.75">
      <c r="B76" s="226" t="s">
        <v>1201</v>
      </c>
      <c r="C76" s="112"/>
      <c r="D76" s="112"/>
      <c r="E76" s="112"/>
      <c r="F76" s="121"/>
      <c r="G76" s="122" t="s">
        <v>2393</v>
      </c>
      <c r="H76" s="557"/>
      <c r="I76" s="558"/>
      <c r="K76" s="226" t="s">
        <v>1092</v>
      </c>
      <c r="L76" s="112"/>
      <c r="M76" s="112"/>
      <c r="N76" s="112"/>
      <c r="O76" s="121"/>
      <c r="P76" s="122" t="s">
        <v>2395</v>
      </c>
      <c r="Q76" s="557"/>
      <c r="R76" s="558"/>
      <c r="T76" s="559" t="s">
        <v>2648</v>
      </c>
      <c r="U76" s="560"/>
      <c r="V76" s="560"/>
      <c r="W76" s="121"/>
      <c r="X76" s="160" t="s">
        <v>2395</v>
      </c>
    </row>
    <row r="77" spans="2:24" ht="12.75">
      <c r="B77" s="226" t="s">
        <v>1090</v>
      </c>
      <c r="C77" s="112"/>
      <c r="D77" s="112"/>
      <c r="E77" s="112"/>
      <c r="F77" s="121"/>
      <c r="G77" s="122" t="s">
        <v>2393</v>
      </c>
      <c r="H77" s="557"/>
      <c r="I77" s="558"/>
      <c r="K77" s="226" t="s">
        <v>2613</v>
      </c>
      <c r="L77" s="112"/>
      <c r="M77" s="112"/>
      <c r="N77" s="112"/>
      <c r="O77" s="121"/>
      <c r="P77" s="122" t="s">
        <v>2393</v>
      </c>
      <c r="Q77" s="557"/>
      <c r="R77" s="558"/>
      <c r="T77" s="559" t="s">
        <v>2656</v>
      </c>
      <c r="U77" s="560"/>
      <c r="V77" s="560"/>
      <c r="W77" s="121"/>
      <c r="X77" s="160" t="s">
        <v>2393</v>
      </c>
    </row>
    <row r="78" spans="2:24" ht="12.75">
      <c r="B78" s="226" t="s">
        <v>1096</v>
      </c>
      <c r="C78" s="112"/>
      <c r="D78" s="112"/>
      <c r="E78" s="112"/>
      <c r="F78" s="121"/>
      <c r="G78" s="122" t="s">
        <v>2393</v>
      </c>
      <c r="H78" s="557"/>
      <c r="I78" s="558"/>
      <c r="K78" s="226" t="s">
        <v>1098</v>
      </c>
      <c r="L78" s="112"/>
      <c r="M78" s="112"/>
      <c r="N78" s="112"/>
      <c r="O78" s="121"/>
      <c r="P78" s="122" t="s">
        <v>2395</v>
      </c>
      <c r="Q78" s="557"/>
      <c r="R78" s="558"/>
      <c r="T78" s="559" t="s">
        <v>2691</v>
      </c>
      <c r="U78" s="560"/>
      <c r="V78" s="560"/>
      <c r="W78" s="121"/>
      <c r="X78" s="160" t="s">
        <v>2394</v>
      </c>
    </row>
    <row r="79" spans="2:24" ht="12.75">
      <c r="B79" s="226" t="s">
        <v>1097</v>
      </c>
      <c r="C79" s="112"/>
      <c r="D79" s="112"/>
      <c r="E79" s="112"/>
      <c r="F79" s="121"/>
      <c r="G79" s="122" t="s">
        <v>2393</v>
      </c>
      <c r="H79" s="557"/>
      <c r="I79" s="558"/>
      <c r="K79" s="226" t="s">
        <v>1099</v>
      </c>
      <c r="L79" s="112"/>
      <c r="M79" s="112"/>
      <c r="N79" s="112"/>
      <c r="O79" s="121"/>
      <c r="P79" s="122" t="s">
        <v>2393</v>
      </c>
      <c r="Q79" s="557"/>
      <c r="R79" s="558"/>
      <c r="T79" s="559" t="s">
        <v>65</v>
      </c>
      <c r="U79" s="560"/>
      <c r="V79" s="560"/>
      <c r="W79" s="121"/>
      <c r="X79" s="160" t="s">
        <v>2395</v>
      </c>
    </row>
    <row r="80" spans="2:24" ht="12.75">
      <c r="B80" s="226" t="s">
        <v>1103</v>
      </c>
      <c r="C80" s="112"/>
      <c r="D80" s="112"/>
      <c r="E80" s="112"/>
      <c r="F80" s="121"/>
      <c r="G80" s="122" t="s">
        <v>2393</v>
      </c>
      <c r="H80" s="557"/>
      <c r="I80" s="558"/>
      <c r="K80" s="226" t="s">
        <v>1100</v>
      </c>
      <c r="L80" s="112"/>
      <c r="M80" s="112"/>
      <c r="N80" s="112"/>
      <c r="O80" s="121"/>
      <c r="P80" s="122" t="s">
        <v>2395</v>
      </c>
      <c r="Q80" s="557"/>
      <c r="R80" s="558"/>
      <c r="T80" s="559" t="s">
        <v>2622</v>
      </c>
      <c r="U80" s="560"/>
      <c r="V80" s="560"/>
      <c r="W80" s="121"/>
      <c r="X80" s="160" t="s">
        <v>2395</v>
      </c>
    </row>
    <row r="81" spans="2:24" ht="12.75">
      <c r="B81" s="226" t="s">
        <v>1105</v>
      </c>
      <c r="C81" s="112"/>
      <c r="D81" s="112"/>
      <c r="E81" s="112"/>
      <c r="F81" s="121"/>
      <c r="G81" s="122" t="s">
        <v>2393</v>
      </c>
      <c r="H81" s="557"/>
      <c r="I81" s="558"/>
      <c r="K81" s="226" t="s">
        <v>1101</v>
      </c>
      <c r="L81" s="112"/>
      <c r="M81" s="112"/>
      <c r="N81" s="112"/>
      <c r="O81" s="121"/>
      <c r="P81" s="122" t="s">
        <v>2390</v>
      </c>
      <c r="Q81" s="557"/>
      <c r="R81" s="558"/>
      <c r="T81" s="559" t="s">
        <v>68</v>
      </c>
      <c r="U81" s="560"/>
      <c r="V81" s="560"/>
      <c r="W81" s="121"/>
      <c r="X81" s="160" t="s">
        <v>2390</v>
      </c>
    </row>
    <row r="82" spans="2:24" ht="12.75">
      <c r="B82" s="226" t="s">
        <v>1109</v>
      </c>
      <c r="C82" s="112"/>
      <c r="D82" s="112"/>
      <c r="E82" s="112"/>
      <c r="F82" s="121"/>
      <c r="G82" s="122" t="s">
        <v>2393</v>
      </c>
      <c r="H82" s="561"/>
      <c r="I82" s="562"/>
      <c r="K82" s="226" t="s">
        <v>1102</v>
      </c>
      <c r="L82" s="112"/>
      <c r="M82" s="112"/>
      <c r="N82" s="112"/>
      <c r="O82" s="121"/>
      <c r="P82" s="122" t="s">
        <v>2390</v>
      </c>
      <c r="Q82" s="557" t="s">
        <v>1754</v>
      </c>
      <c r="R82" s="558"/>
      <c r="T82" s="559" t="s">
        <v>43</v>
      </c>
      <c r="U82" s="560"/>
      <c r="V82" s="560"/>
      <c r="W82" s="121"/>
      <c r="X82" s="160" t="s">
        <v>2390</v>
      </c>
    </row>
    <row r="83" spans="2:24" ht="12.75">
      <c r="B83" s="226" t="s">
        <v>1110</v>
      </c>
      <c r="C83" s="112"/>
      <c r="D83" s="112"/>
      <c r="E83" s="112"/>
      <c r="F83" s="121"/>
      <c r="G83" s="122" t="s">
        <v>2393</v>
      </c>
      <c r="H83" s="561"/>
      <c r="I83" s="562"/>
      <c r="K83" s="226" t="s">
        <v>1104</v>
      </c>
      <c r="L83" s="112"/>
      <c r="M83" s="112"/>
      <c r="N83" s="112"/>
      <c r="O83" s="121"/>
      <c r="P83" s="122" t="s">
        <v>2390</v>
      </c>
      <c r="Q83" s="557"/>
      <c r="R83" s="558"/>
      <c r="T83" s="559" t="s">
        <v>93</v>
      </c>
      <c r="U83" s="560"/>
      <c r="V83" s="560"/>
      <c r="W83" s="121"/>
      <c r="X83" s="160" t="s">
        <v>2395</v>
      </c>
    </row>
    <row r="84" spans="2:24" ht="12.75">
      <c r="B84" s="226" t="s">
        <v>1111</v>
      </c>
      <c r="C84" s="112"/>
      <c r="D84" s="112"/>
      <c r="E84" s="112"/>
      <c r="F84" s="121"/>
      <c r="G84" s="122" t="s">
        <v>2393</v>
      </c>
      <c r="H84" s="561"/>
      <c r="I84" s="562"/>
      <c r="K84" s="226" t="s">
        <v>1106</v>
      </c>
      <c r="L84" s="112"/>
      <c r="M84" s="112"/>
      <c r="N84" s="112"/>
      <c r="O84" s="121"/>
      <c r="P84" s="122" t="s">
        <v>2390</v>
      </c>
      <c r="Q84" s="557"/>
      <c r="R84" s="558"/>
      <c r="T84" s="559" t="s">
        <v>2621</v>
      </c>
      <c r="U84" s="560"/>
      <c r="V84" s="560"/>
      <c r="W84" s="121"/>
      <c r="X84" s="160" t="s">
        <v>2391</v>
      </c>
    </row>
    <row r="85" spans="2:24" ht="12.75">
      <c r="B85" s="226" t="s">
        <v>1114</v>
      </c>
      <c r="C85" s="112"/>
      <c r="D85" s="112"/>
      <c r="E85" s="112"/>
      <c r="F85" s="121"/>
      <c r="G85" s="122" t="s">
        <v>2393</v>
      </c>
      <c r="H85" s="557"/>
      <c r="I85" s="558"/>
      <c r="K85" s="226" t="s">
        <v>1107</v>
      </c>
      <c r="L85" s="112"/>
      <c r="M85" s="112"/>
      <c r="N85" s="112"/>
      <c r="O85" s="121"/>
      <c r="P85" s="122" t="s">
        <v>2393</v>
      </c>
      <c r="Q85" s="557"/>
      <c r="R85" s="558"/>
      <c r="T85" s="559" t="s">
        <v>2612</v>
      </c>
      <c r="U85" s="560"/>
      <c r="V85" s="560"/>
      <c r="W85" s="121"/>
      <c r="X85" s="160" t="s">
        <v>2390</v>
      </c>
    </row>
    <row r="86" spans="2:24" ht="12.75">
      <c r="B86" s="243"/>
      <c r="C86" s="245"/>
      <c r="D86" s="245"/>
      <c r="E86" s="245"/>
      <c r="F86" s="121"/>
      <c r="G86" s="121"/>
      <c r="H86" s="561"/>
      <c r="I86" s="562"/>
      <c r="K86" s="226" t="s">
        <v>1108</v>
      </c>
      <c r="L86" s="112"/>
      <c r="M86" s="112"/>
      <c r="N86" s="112"/>
      <c r="O86" s="121"/>
      <c r="P86" s="122" t="s">
        <v>2393</v>
      </c>
      <c r="Q86" s="557"/>
      <c r="R86" s="558"/>
      <c r="T86" s="559" t="s">
        <v>2697</v>
      </c>
      <c r="U86" s="560"/>
      <c r="V86" s="560"/>
      <c r="W86" s="121"/>
      <c r="X86" s="160" t="s">
        <v>2394</v>
      </c>
    </row>
    <row r="87" spans="2:24" ht="12.75">
      <c r="B87" s="243" t="s">
        <v>2584</v>
      </c>
      <c r="C87" s="245"/>
      <c r="D87" s="245"/>
      <c r="E87" s="245"/>
      <c r="F87" s="121"/>
      <c r="G87" s="121" t="s">
        <v>2584</v>
      </c>
      <c r="H87" s="561"/>
      <c r="I87" s="562"/>
      <c r="K87" s="226" t="s">
        <v>1069</v>
      </c>
      <c r="L87" s="112"/>
      <c r="M87" s="112"/>
      <c r="N87" s="112"/>
      <c r="O87" s="121"/>
      <c r="P87" s="122" t="s">
        <v>2393</v>
      </c>
      <c r="Q87" s="557"/>
      <c r="R87" s="558"/>
      <c r="T87" s="559" t="s">
        <v>20</v>
      </c>
      <c r="U87" s="560"/>
      <c r="V87" s="560"/>
      <c r="W87" s="121"/>
      <c r="X87" s="160" t="s">
        <v>2393</v>
      </c>
    </row>
    <row r="88" spans="2:24" ht="12.75">
      <c r="B88" s="243" t="s">
        <v>2584</v>
      </c>
      <c r="C88" s="245"/>
      <c r="D88" s="245"/>
      <c r="E88" s="245"/>
      <c r="F88" s="121"/>
      <c r="G88" s="121" t="s">
        <v>2584</v>
      </c>
      <c r="H88" s="561"/>
      <c r="I88" s="562"/>
      <c r="K88" s="226" t="s">
        <v>1112</v>
      </c>
      <c r="L88" s="112"/>
      <c r="M88" s="112"/>
      <c r="N88" s="112"/>
      <c r="O88" s="121"/>
      <c r="P88" s="122" t="s">
        <v>2393</v>
      </c>
      <c r="Q88" s="557"/>
      <c r="R88" s="558"/>
      <c r="T88" s="559" t="s">
        <v>2660</v>
      </c>
      <c r="U88" s="560"/>
      <c r="V88" s="560"/>
      <c r="W88" s="121"/>
      <c r="X88" s="160" t="s">
        <v>2393</v>
      </c>
    </row>
    <row r="89" spans="2:24" ht="13.5" thickBot="1">
      <c r="B89" s="240" t="s">
        <v>2584</v>
      </c>
      <c r="C89" s="241"/>
      <c r="D89" s="241"/>
      <c r="E89" s="241"/>
      <c r="F89" s="225"/>
      <c r="G89" s="225" t="s">
        <v>2584</v>
      </c>
      <c r="H89" s="563"/>
      <c r="I89" s="564"/>
      <c r="K89" s="226" t="s">
        <v>775</v>
      </c>
      <c r="L89" s="112"/>
      <c r="M89" s="112"/>
      <c r="N89" s="112"/>
      <c r="O89" s="121"/>
      <c r="P89" s="122" t="s">
        <v>2390</v>
      </c>
      <c r="Q89" s="561"/>
      <c r="R89" s="562"/>
      <c r="T89" s="559" t="s">
        <v>63</v>
      </c>
      <c r="U89" s="560"/>
      <c r="V89" s="560"/>
      <c r="W89" s="121"/>
      <c r="X89" s="160" t="s">
        <v>885</v>
      </c>
    </row>
    <row r="90" spans="11:24" ht="13.5" thickBot="1">
      <c r="K90" s="226" t="s">
        <v>1113</v>
      </c>
      <c r="L90" s="112"/>
      <c r="M90" s="112"/>
      <c r="N90" s="112"/>
      <c r="O90" s="121"/>
      <c r="P90" s="122" t="s">
        <v>2390</v>
      </c>
      <c r="Q90" s="557"/>
      <c r="R90" s="558"/>
      <c r="T90" s="559" t="s">
        <v>2671</v>
      </c>
      <c r="U90" s="560"/>
      <c r="V90" s="560"/>
      <c r="W90" s="121"/>
      <c r="X90" s="160" t="s">
        <v>2394</v>
      </c>
    </row>
    <row r="91" spans="2:24" ht="12.75">
      <c r="B91" s="421" t="s">
        <v>1196</v>
      </c>
      <c r="C91" s="157"/>
      <c r="D91" s="157"/>
      <c r="E91" s="157"/>
      <c r="F91" s="261" t="s">
        <v>2419</v>
      </c>
      <c r="G91" s="261" t="s">
        <v>2525</v>
      </c>
      <c r="H91" s="533" t="s">
        <v>1735</v>
      </c>
      <c r="I91" s="535"/>
      <c r="K91" s="226" t="s">
        <v>1115</v>
      </c>
      <c r="L91" s="112"/>
      <c r="M91" s="112"/>
      <c r="N91" s="112"/>
      <c r="O91" s="121"/>
      <c r="P91" s="122" t="s">
        <v>2395</v>
      </c>
      <c r="Q91" s="557"/>
      <c r="R91" s="558"/>
      <c r="T91" s="559" t="s">
        <v>10</v>
      </c>
      <c r="U91" s="560"/>
      <c r="V91" s="560"/>
      <c r="W91" s="121"/>
      <c r="X91" s="160" t="s">
        <v>2393</v>
      </c>
    </row>
    <row r="92" spans="2:24" ht="12.75">
      <c r="B92" s="226" t="s">
        <v>1083</v>
      </c>
      <c r="C92" s="112"/>
      <c r="D92" s="112"/>
      <c r="E92" s="112"/>
      <c r="F92" s="121"/>
      <c r="G92" s="122" t="s">
        <v>2395</v>
      </c>
      <c r="H92" s="557"/>
      <c r="I92" s="558"/>
      <c r="K92" s="226" t="s">
        <v>2665</v>
      </c>
      <c r="L92" s="112"/>
      <c r="M92" s="112"/>
      <c r="N92" s="112"/>
      <c r="O92" s="121"/>
      <c r="P92" s="122" t="s">
        <v>2393</v>
      </c>
      <c r="Q92" s="557"/>
      <c r="R92" s="558"/>
      <c r="T92" s="559" t="s">
        <v>2683</v>
      </c>
      <c r="U92" s="560"/>
      <c r="V92" s="560"/>
      <c r="W92" s="121"/>
      <c r="X92" s="160" t="s">
        <v>2393</v>
      </c>
    </row>
    <row r="93" spans="2:24" ht="12.75">
      <c r="B93" s="226" t="s">
        <v>1088</v>
      </c>
      <c r="C93" s="112"/>
      <c r="D93" s="112"/>
      <c r="E93" s="112"/>
      <c r="F93" s="121"/>
      <c r="G93" s="122" t="s">
        <v>2395</v>
      </c>
      <c r="H93" s="561"/>
      <c r="I93" s="562"/>
      <c r="K93" s="380" t="s">
        <v>1116</v>
      </c>
      <c r="L93" s="114"/>
      <c r="M93" s="114"/>
      <c r="N93" s="114"/>
      <c r="O93" s="323"/>
      <c r="P93" s="131" t="s">
        <v>2393</v>
      </c>
      <c r="Q93" s="565"/>
      <c r="R93" s="566"/>
      <c r="T93" s="559" t="s">
        <v>909</v>
      </c>
      <c r="U93" s="560"/>
      <c r="V93" s="560"/>
      <c r="W93" s="121"/>
      <c r="X93" s="160" t="s">
        <v>2393</v>
      </c>
    </row>
    <row r="94" spans="2:24" ht="12.75">
      <c r="B94" s="226" t="s">
        <v>1089</v>
      </c>
      <c r="C94" s="112"/>
      <c r="D94" s="112"/>
      <c r="E94" s="112"/>
      <c r="F94" s="121"/>
      <c r="G94" s="122" t="s">
        <v>2395</v>
      </c>
      <c r="H94" s="557"/>
      <c r="I94" s="558"/>
      <c r="K94" s="226" t="s">
        <v>1117</v>
      </c>
      <c r="L94" s="112"/>
      <c r="M94" s="112"/>
      <c r="N94" s="112"/>
      <c r="O94" s="121"/>
      <c r="P94" s="122" t="str">
        <f>"S"&amp;IF(Race=Tskrang,"+3","")</f>
        <v>S</v>
      </c>
      <c r="Q94" s="557"/>
      <c r="R94" s="558"/>
      <c r="T94" s="559" t="s">
        <v>2658</v>
      </c>
      <c r="U94" s="560"/>
      <c r="V94" s="560"/>
      <c r="W94" s="121"/>
      <c r="X94" s="160" t="s">
        <v>2393</v>
      </c>
    </row>
    <row r="95" spans="2:24" ht="12.75">
      <c r="B95" s="226" t="s">
        <v>1093</v>
      </c>
      <c r="C95" s="112"/>
      <c r="D95" s="112"/>
      <c r="E95" s="112"/>
      <c r="F95" s="121"/>
      <c r="G95" s="122" t="s">
        <v>2395</v>
      </c>
      <c r="H95" s="557"/>
      <c r="I95" s="558"/>
      <c r="K95" s="226" t="s">
        <v>1118</v>
      </c>
      <c r="L95" s="112"/>
      <c r="M95" s="112"/>
      <c r="N95" s="112"/>
      <c r="O95" s="121"/>
      <c r="P95" s="122" t="s">
        <v>2393</v>
      </c>
      <c r="Q95" s="557"/>
      <c r="R95" s="558"/>
      <c r="T95" s="559" t="s">
        <v>910</v>
      </c>
      <c r="U95" s="560"/>
      <c r="V95" s="560"/>
      <c r="W95" s="121"/>
      <c r="X95" s="160" t="s">
        <v>2390</v>
      </c>
    </row>
    <row r="96" spans="2:24" ht="12.75">
      <c r="B96" s="226" t="s">
        <v>1094</v>
      </c>
      <c r="C96" s="112"/>
      <c r="D96" s="112"/>
      <c r="E96" s="112"/>
      <c r="F96" s="121"/>
      <c r="G96" s="122" t="s">
        <v>2395</v>
      </c>
      <c r="H96" s="557"/>
      <c r="I96" s="558"/>
      <c r="K96" s="226" t="s">
        <v>2631</v>
      </c>
      <c r="L96" s="112"/>
      <c r="M96" s="112"/>
      <c r="N96" s="112"/>
      <c r="O96" s="121"/>
      <c r="P96" s="122" t="s">
        <v>2393</v>
      </c>
      <c r="Q96" s="557"/>
      <c r="R96" s="558"/>
      <c r="T96" s="559" t="s">
        <v>24</v>
      </c>
      <c r="U96" s="560"/>
      <c r="V96" s="560"/>
      <c r="W96" s="121"/>
      <c r="X96" s="160" t="s">
        <v>2393</v>
      </c>
    </row>
    <row r="97" spans="2:24" ht="12.75">
      <c r="B97" s="226" t="s">
        <v>1095</v>
      </c>
      <c r="C97" s="112"/>
      <c r="D97" s="112"/>
      <c r="E97" s="112"/>
      <c r="F97" s="121"/>
      <c r="G97" s="122" t="s">
        <v>2390</v>
      </c>
      <c r="H97" s="561"/>
      <c r="I97" s="562"/>
      <c r="K97" s="226" t="s">
        <v>1119</v>
      </c>
      <c r="L97" s="112"/>
      <c r="M97" s="112"/>
      <c r="N97" s="112"/>
      <c r="O97" s="121"/>
      <c r="P97" s="122" t="s">
        <v>2395</v>
      </c>
      <c r="Q97" s="557"/>
      <c r="R97" s="558"/>
      <c r="T97" s="559" t="s">
        <v>2681</v>
      </c>
      <c r="U97" s="560"/>
      <c r="V97" s="560"/>
      <c r="W97" s="121"/>
      <c r="X97" s="160" t="s">
        <v>2395</v>
      </c>
    </row>
    <row r="98" spans="2:24" ht="12.75">
      <c r="B98" s="226" t="s">
        <v>1198</v>
      </c>
      <c r="C98" s="112"/>
      <c r="D98" s="112"/>
      <c r="E98" s="112"/>
      <c r="F98" s="121"/>
      <c r="G98" s="122" t="s">
        <v>2395</v>
      </c>
      <c r="H98" s="557"/>
      <c r="I98" s="558"/>
      <c r="K98" s="226" t="s">
        <v>1120</v>
      </c>
      <c r="L98" s="112"/>
      <c r="M98" s="112"/>
      <c r="N98" s="112"/>
      <c r="O98" s="121"/>
      <c r="P98" s="122" t="s">
        <v>2393</v>
      </c>
      <c r="Q98" s="557"/>
      <c r="R98" s="558"/>
      <c r="T98" s="559" t="s">
        <v>2625</v>
      </c>
      <c r="U98" s="560"/>
      <c r="V98" s="560"/>
      <c r="W98" s="121"/>
      <c r="X98" s="160" t="s">
        <v>2395</v>
      </c>
    </row>
    <row r="99" spans="2:24" ht="12.75">
      <c r="B99" s="226" t="s">
        <v>774</v>
      </c>
      <c r="C99" s="112"/>
      <c r="D99" s="112"/>
      <c r="E99" s="112"/>
      <c r="F99" s="121"/>
      <c r="G99" s="122" t="s">
        <v>2395</v>
      </c>
      <c r="H99" s="557"/>
      <c r="I99" s="558"/>
      <c r="K99" s="243" t="s">
        <v>2584</v>
      </c>
      <c r="L99" s="245"/>
      <c r="M99" s="245"/>
      <c r="N99" s="245"/>
      <c r="O99" s="121"/>
      <c r="P99" s="121" t="s">
        <v>2584</v>
      </c>
      <c r="Q99" s="561"/>
      <c r="R99" s="562"/>
      <c r="T99" s="559" t="s">
        <v>105</v>
      </c>
      <c r="U99" s="560"/>
      <c r="V99" s="560"/>
      <c r="W99" s="121"/>
      <c r="X99" s="160" t="s">
        <v>2393</v>
      </c>
    </row>
    <row r="100" spans="2:24" ht="12.75">
      <c r="B100" s="226" t="s">
        <v>1200</v>
      </c>
      <c r="C100" s="112"/>
      <c r="D100" s="112"/>
      <c r="E100" s="112"/>
      <c r="F100" s="121"/>
      <c r="G100" s="122" t="s">
        <v>2395</v>
      </c>
      <c r="H100" s="557"/>
      <c r="I100" s="558"/>
      <c r="K100" s="243" t="s">
        <v>2584</v>
      </c>
      <c r="L100" s="245"/>
      <c r="M100" s="245"/>
      <c r="N100" s="245"/>
      <c r="O100" s="121"/>
      <c r="P100" s="121" t="s">
        <v>2584</v>
      </c>
      <c r="Q100" s="561"/>
      <c r="R100" s="562"/>
      <c r="T100" s="559" t="s">
        <v>2619</v>
      </c>
      <c r="U100" s="560"/>
      <c r="V100" s="560"/>
      <c r="W100" s="121"/>
      <c r="X100" s="160" t="s">
        <v>2393</v>
      </c>
    </row>
    <row r="101" spans="2:24" ht="12.75">
      <c r="B101" s="243"/>
      <c r="C101" s="245"/>
      <c r="D101" s="245"/>
      <c r="E101" s="245"/>
      <c r="F101" s="121"/>
      <c r="G101" s="121"/>
      <c r="H101" s="561"/>
      <c r="I101" s="562"/>
      <c r="K101" s="243" t="s">
        <v>2584</v>
      </c>
      <c r="L101" s="245"/>
      <c r="M101" s="245"/>
      <c r="N101" s="245"/>
      <c r="O101" s="121"/>
      <c r="P101" s="121" t="s">
        <v>2584</v>
      </c>
      <c r="Q101" s="561"/>
      <c r="R101" s="562"/>
      <c r="T101" s="559" t="s">
        <v>2663</v>
      </c>
      <c r="U101" s="560"/>
      <c r="V101" s="560"/>
      <c r="W101" s="121"/>
      <c r="X101" s="160" t="s">
        <v>2394</v>
      </c>
    </row>
    <row r="102" spans="2:24" ht="12.75">
      <c r="B102" s="243" t="s">
        <v>2584</v>
      </c>
      <c r="C102" s="245"/>
      <c r="D102" s="245"/>
      <c r="E102" s="245"/>
      <c r="F102" s="121"/>
      <c r="G102" s="121" t="s">
        <v>2584</v>
      </c>
      <c r="H102" s="561"/>
      <c r="I102" s="562"/>
      <c r="K102" s="243" t="s">
        <v>2584</v>
      </c>
      <c r="L102" s="245"/>
      <c r="M102" s="245"/>
      <c r="N102" s="245"/>
      <c r="O102" s="121"/>
      <c r="P102" s="121" t="s">
        <v>2584</v>
      </c>
      <c r="Q102" s="561"/>
      <c r="R102" s="562"/>
      <c r="T102" s="559" t="s">
        <v>47</v>
      </c>
      <c r="U102" s="560"/>
      <c r="V102" s="560"/>
      <c r="W102" s="121"/>
      <c r="X102" s="160" t="s">
        <v>2395</v>
      </c>
    </row>
    <row r="103" spans="2:24" ht="13.5" thickBot="1">
      <c r="B103" s="240" t="s">
        <v>2584</v>
      </c>
      <c r="C103" s="241"/>
      <c r="D103" s="241"/>
      <c r="E103" s="241"/>
      <c r="F103" s="225"/>
      <c r="G103" s="225" t="s">
        <v>2584</v>
      </c>
      <c r="H103" s="563"/>
      <c r="I103" s="564"/>
      <c r="K103" s="240" t="s">
        <v>2584</v>
      </c>
      <c r="L103" s="241"/>
      <c r="M103" s="241"/>
      <c r="N103" s="241"/>
      <c r="O103" s="225"/>
      <c r="P103" s="225" t="s">
        <v>2584</v>
      </c>
      <c r="Q103" s="563"/>
      <c r="R103" s="564"/>
      <c r="T103" s="559" t="s">
        <v>2652</v>
      </c>
      <c r="U103" s="560"/>
      <c r="V103" s="560"/>
      <c r="W103" s="121"/>
      <c r="X103" s="160" t="s">
        <v>2390</v>
      </c>
    </row>
    <row r="104" spans="20:24" ht="12.75">
      <c r="T104" s="559" t="s">
        <v>2657</v>
      </c>
      <c r="U104" s="560"/>
      <c r="V104" s="560"/>
      <c r="W104" s="121"/>
      <c r="X104" s="160" t="s">
        <v>2395</v>
      </c>
    </row>
    <row r="105" spans="20:24" ht="13.5" thickBot="1">
      <c r="T105" s="559" t="s">
        <v>2673</v>
      </c>
      <c r="U105" s="560"/>
      <c r="V105" s="560"/>
      <c r="W105" s="121"/>
      <c r="X105" s="160" t="s">
        <v>2395</v>
      </c>
    </row>
    <row r="106" spans="2:24" ht="12.75">
      <c r="B106" s="549" t="s">
        <v>2405</v>
      </c>
      <c r="C106" s="550"/>
      <c r="D106" s="550"/>
      <c r="E106" s="261" t="s">
        <v>2561</v>
      </c>
      <c r="F106" s="261" t="s">
        <v>2385</v>
      </c>
      <c r="G106" s="261" t="s">
        <v>2527</v>
      </c>
      <c r="H106" s="261" t="s">
        <v>1749</v>
      </c>
      <c r="I106" s="533" t="s">
        <v>2406</v>
      </c>
      <c r="J106" s="533"/>
      <c r="K106" s="261" t="s">
        <v>799</v>
      </c>
      <c r="L106" s="261" t="s">
        <v>2407</v>
      </c>
      <c r="M106" s="261" t="s">
        <v>2403</v>
      </c>
      <c r="N106" s="261" t="s">
        <v>2388</v>
      </c>
      <c r="O106" s="533" t="s">
        <v>1175</v>
      </c>
      <c r="P106" s="533"/>
      <c r="Q106" s="533" t="s">
        <v>2422</v>
      </c>
      <c r="R106" s="535"/>
      <c r="T106" s="559" t="s">
        <v>56</v>
      </c>
      <c r="U106" s="560"/>
      <c r="V106" s="560"/>
      <c r="W106" s="121"/>
      <c r="X106" s="160" t="s">
        <v>2393</v>
      </c>
    </row>
    <row r="107" spans="2:24" ht="12.75">
      <c r="B107" s="559" t="s">
        <v>2416</v>
      </c>
      <c r="C107" s="560"/>
      <c r="D107" s="560"/>
      <c r="E107" s="121"/>
      <c r="F107" s="122">
        <v>0.3</v>
      </c>
      <c r="G107" s="122">
        <v>1</v>
      </c>
      <c r="H107" s="121"/>
      <c r="I107" s="557" t="s">
        <v>2415</v>
      </c>
      <c r="J107" s="557"/>
      <c r="K107" s="122">
        <v>4</v>
      </c>
      <c r="L107" s="122">
        <v>1</v>
      </c>
      <c r="M107" s="122">
        <v>0.6</v>
      </c>
      <c r="N107" s="122" t="e">
        <f aca="true" t="shared" si="17" ref="N107:N147">G107+IF(G107&gt;0,StrStep,0)+H107</f>
        <v>#N/A</v>
      </c>
      <c r="O107" s="532" t="e">
        <f ca="1">OFFSET(ActionDice,N107,0)</f>
        <v>#N/A</v>
      </c>
      <c r="P107" s="532"/>
      <c r="Q107" s="557" t="e">
        <f>IF(L107&gt;IF(I107="- / - / -",RaceWeaponMissile,RaceWeapon2H),"Too large",IF(L107&gt;RaceWeapon1H,"Two-handed",IF(L107&lt;RaceWeaponMin,"Too small","-")))</f>
        <v>#N/A</v>
      </c>
      <c r="R107" s="558"/>
      <c r="T107" s="559" t="s">
        <v>18</v>
      </c>
      <c r="U107" s="560"/>
      <c r="V107" s="560"/>
      <c r="W107" s="121"/>
      <c r="X107" s="160" t="s">
        <v>2390</v>
      </c>
    </row>
    <row r="108" spans="2:24" ht="12.75">
      <c r="B108" s="559" t="s">
        <v>621</v>
      </c>
      <c r="C108" s="560"/>
      <c r="D108" s="560"/>
      <c r="E108" s="121"/>
      <c r="F108" s="155">
        <v>1</v>
      </c>
      <c r="G108" s="122">
        <v>1</v>
      </c>
      <c r="H108" s="121"/>
      <c r="I108" s="557" t="s">
        <v>2415</v>
      </c>
      <c r="J108" s="557"/>
      <c r="K108" s="122">
        <v>2</v>
      </c>
      <c r="L108" s="122">
        <v>1</v>
      </c>
      <c r="M108" s="122">
        <v>0.5</v>
      </c>
      <c r="N108" s="122" t="e">
        <f t="shared" si="17"/>
        <v>#N/A</v>
      </c>
      <c r="O108" s="532" t="e">
        <f aca="true" ca="1" t="shared" si="18" ref="O108:O147">OFFSET(ActionDice,N108,0)</f>
        <v>#N/A</v>
      </c>
      <c r="P108" s="532"/>
      <c r="Q108" s="557" t="e">
        <f aca="true" t="shared" si="19" ref="Q108:Q147">IF(L108&gt;IF(I108="- / - / -",RaceWeaponMissile,RaceWeapon2H),"Too large",IF(L108&gt;RaceWeapon1H,"Two-handed",IF(L108&lt;RaceWeaponMin,"Too small","-")))</f>
        <v>#N/A</v>
      </c>
      <c r="R108" s="558"/>
      <c r="T108" s="559" t="s">
        <v>0</v>
      </c>
      <c r="U108" s="560"/>
      <c r="V108" s="560"/>
      <c r="W108" s="121"/>
      <c r="X108" s="160" t="s">
        <v>2390</v>
      </c>
    </row>
    <row r="109" spans="2:24" ht="12.75">
      <c r="B109" s="559" t="s">
        <v>612</v>
      </c>
      <c r="C109" s="560"/>
      <c r="D109" s="560"/>
      <c r="E109" s="121"/>
      <c r="F109" s="122">
        <v>0.8</v>
      </c>
      <c r="G109" s="122">
        <v>2</v>
      </c>
      <c r="H109" s="121"/>
      <c r="I109" s="557" t="s">
        <v>648</v>
      </c>
      <c r="J109" s="557"/>
      <c r="K109" s="122">
        <v>9</v>
      </c>
      <c r="L109" s="122">
        <v>1</v>
      </c>
      <c r="M109" s="122">
        <v>1</v>
      </c>
      <c r="N109" s="122" t="e">
        <f t="shared" si="17"/>
        <v>#N/A</v>
      </c>
      <c r="O109" s="532" t="e">
        <f ca="1" t="shared" si="18"/>
        <v>#N/A</v>
      </c>
      <c r="P109" s="532"/>
      <c r="Q109" s="557" t="e">
        <f t="shared" si="19"/>
        <v>#N/A</v>
      </c>
      <c r="R109" s="558"/>
      <c r="T109" s="559" t="s">
        <v>2613</v>
      </c>
      <c r="U109" s="560"/>
      <c r="V109" s="560"/>
      <c r="W109" s="121"/>
      <c r="X109" s="160" t="s">
        <v>2393</v>
      </c>
    </row>
    <row r="110" spans="2:24" ht="12.75">
      <c r="B110" s="559" t="s">
        <v>611</v>
      </c>
      <c r="C110" s="560"/>
      <c r="D110" s="560"/>
      <c r="E110" s="121"/>
      <c r="F110" s="155">
        <v>2</v>
      </c>
      <c r="G110" s="122">
        <v>3</v>
      </c>
      <c r="H110" s="121"/>
      <c r="I110" s="557" t="s">
        <v>2415</v>
      </c>
      <c r="J110" s="557"/>
      <c r="K110" s="122">
        <v>7</v>
      </c>
      <c r="L110" s="122">
        <v>2</v>
      </c>
      <c r="M110" s="122">
        <v>3</v>
      </c>
      <c r="N110" s="122" t="e">
        <f t="shared" si="17"/>
        <v>#N/A</v>
      </c>
      <c r="O110" s="532" t="e">
        <f ca="1" t="shared" si="18"/>
        <v>#N/A</v>
      </c>
      <c r="P110" s="532"/>
      <c r="Q110" s="557" t="e">
        <f t="shared" si="19"/>
        <v>#N/A</v>
      </c>
      <c r="R110" s="558"/>
      <c r="T110" s="559" t="s">
        <v>2690</v>
      </c>
      <c r="U110" s="560"/>
      <c r="V110" s="560"/>
      <c r="W110" s="121"/>
      <c r="X110" s="160" t="s">
        <v>1202</v>
      </c>
    </row>
    <row r="111" spans="2:24" ht="12.75">
      <c r="B111" s="559" t="s">
        <v>613</v>
      </c>
      <c r="C111" s="560"/>
      <c r="D111" s="560"/>
      <c r="E111" s="121"/>
      <c r="F111" s="155">
        <v>6</v>
      </c>
      <c r="G111" s="122">
        <v>3</v>
      </c>
      <c r="H111" s="121"/>
      <c r="I111" s="557" t="s">
        <v>2415</v>
      </c>
      <c r="J111" s="557"/>
      <c r="K111" s="122">
        <v>6</v>
      </c>
      <c r="L111" s="122">
        <v>2</v>
      </c>
      <c r="M111" s="122">
        <v>1</v>
      </c>
      <c r="N111" s="122" t="e">
        <f t="shared" si="17"/>
        <v>#N/A</v>
      </c>
      <c r="O111" s="532" t="e">
        <f ca="1" t="shared" si="18"/>
        <v>#N/A</v>
      </c>
      <c r="P111" s="532"/>
      <c r="Q111" s="557" t="e">
        <f t="shared" si="19"/>
        <v>#N/A</v>
      </c>
      <c r="R111" s="558"/>
      <c r="T111" s="559" t="s">
        <v>2617</v>
      </c>
      <c r="U111" s="560"/>
      <c r="V111" s="560"/>
      <c r="W111" s="121"/>
      <c r="X111" s="160" t="s">
        <v>2395</v>
      </c>
    </row>
    <row r="112" spans="2:24" ht="12.75">
      <c r="B112" s="559" t="s">
        <v>615</v>
      </c>
      <c r="C112" s="560"/>
      <c r="D112" s="560"/>
      <c r="E112" s="121"/>
      <c r="F112" s="155">
        <v>12</v>
      </c>
      <c r="G112" s="122">
        <v>4</v>
      </c>
      <c r="H112" s="121"/>
      <c r="I112" s="557" t="s">
        <v>2415</v>
      </c>
      <c r="J112" s="557"/>
      <c r="K112" s="122">
        <v>10</v>
      </c>
      <c r="L112" s="122">
        <v>2</v>
      </c>
      <c r="M112" s="122">
        <v>2</v>
      </c>
      <c r="N112" s="122" t="e">
        <f t="shared" si="17"/>
        <v>#N/A</v>
      </c>
      <c r="O112" s="532" t="e">
        <f ca="1" t="shared" si="18"/>
        <v>#N/A</v>
      </c>
      <c r="P112" s="532"/>
      <c r="Q112" s="557" t="e">
        <f t="shared" si="19"/>
        <v>#N/A</v>
      </c>
      <c r="R112" s="558"/>
      <c r="T112" s="559" t="s">
        <v>907</v>
      </c>
      <c r="U112" s="560"/>
      <c r="V112" s="560"/>
      <c r="W112" s="121"/>
      <c r="X112" s="160" t="s">
        <v>2393</v>
      </c>
    </row>
    <row r="113" spans="2:24" ht="12.75">
      <c r="B113" s="559" t="s">
        <v>622</v>
      </c>
      <c r="C113" s="560"/>
      <c r="D113" s="560"/>
      <c r="E113" s="121"/>
      <c r="F113" s="155">
        <v>16</v>
      </c>
      <c r="G113" s="122">
        <v>4</v>
      </c>
      <c r="H113" s="121"/>
      <c r="I113" s="557" t="s">
        <v>2415</v>
      </c>
      <c r="J113" s="557"/>
      <c r="K113" s="122">
        <v>5</v>
      </c>
      <c r="L113" s="122">
        <v>2</v>
      </c>
      <c r="M113" s="122">
        <v>2</v>
      </c>
      <c r="N113" s="122" t="e">
        <f t="shared" si="17"/>
        <v>#N/A</v>
      </c>
      <c r="O113" s="532" t="e">
        <f ca="1" t="shared" si="18"/>
        <v>#N/A</v>
      </c>
      <c r="P113" s="532"/>
      <c r="Q113" s="557" t="e">
        <f t="shared" si="19"/>
        <v>#N/A</v>
      </c>
      <c r="R113" s="558"/>
      <c r="T113" s="559" t="s">
        <v>1</v>
      </c>
      <c r="U113" s="560"/>
      <c r="V113" s="560"/>
      <c r="W113" s="121"/>
      <c r="X113" s="160" t="s">
        <v>2395</v>
      </c>
    </row>
    <row r="114" spans="2:24" ht="12.75">
      <c r="B114" s="559" t="s">
        <v>629</v>
      </c>
      <c r="C114" s="560"/>
      <c r="D114" s="560"/>
      <c r="E114" s="121"/>
      <c r="F114" s="155">
        <v>10</v>
      </c>
      <c r="G114" s="122">
        <v>3</v>
      </c>
      <c r="H114" s="121"/>
      <c r="I114" s="557" t="s">
        <v>2415</v>
      </c>
      <c r="J114" s="557"/>
      <c r="K114" s="122">
        <v>7</v>
      </c>
      <c r="L114" s="122">
        <v>3</v>
      </c>
      <c r="M114" s="122">
        <v>2</v>
      </c>
      <c r="N114" s="122" t="e">
        <f t="shared" si="17"/>
        <v>#N/A</v>
      </c>
      <c r="O114" s="532" t="e">
        <f ca="1" t="shared" si="18"/>
        <v>#N/A</v>
      </c>
      <c r="P114" s="532"/>
      <c r="Q114" s="557" t="e">
        <f t="shared" si="19"/>
        <v>#N/A</v>
      </c>
      <c r="R114" s="558"/>
      <c r="T114" s="559" t="s">
        <v>4</v>
      </c>
      <c r="U114" s="560"/>
      <c r="V114" s="560"/>
      <c r="W114" s="121"/>
      <c r="X114" s="160" t="s">
        <v>2395</v>
      </c>
    </row>
    <row r="115" spans="2:24" ht="12.75">
      <c r="B115" s="559" t="s">
        <v>617</v>
      </c>
      <c r="C115" s="560"/>
      <c r="D115" s="560"/>
      <c r="E115" s="121"/>
      <c r="F115" s="155">
        <v>20</v>
      </c>
      <c r="G115" s="122">
        <v>4</v>
      </c>
      <c r="H115" s="121"/>
      <c r="I115" s="557" t="s">
        <v>2415</v>
      </c>
      <c r="J115" s="557"/>
      <c r="K115" s="122">
        <v>9</v>
      </c>
      <c r="L115" s="122">
        <v>3</v>
      </c>
      <c r="M115" s="122">
        <v>5</v>
      </c>
      <c r="N115" s="122" t="e">
        <f t="shared" si="17"/>
        <v>#N/A</v>
      </c>
      <c r="O115" s="532" t="e">
        <f ca="1" t="shared" si="18"/>
        <v>#N/A</v>
      </c>
      <c r="P115" s="532"/>
      <c r="Q115" s="557" t="e">
        <f t="shared" si="19"/>
        <v>#N/A</v>
      </c>
      <c r="R115" s="558"/>
      <c r="T115" s="559" t="s">
        <v>924</v>
      </c>
      <c r="U115" s="560"/>
      <c r="V115" s="560"/>
      <c r="W115" s="121"/>
      <c r="X115" s="160" t="s">
        <v>2390</v>
      </c>
    </row>
    <row r="116" spans="2:24" ht="12.75">
      <c r="B116" s="559" t="s">
        <v>610</v>
      </c>
      <c r="C116" s="560"/>
      <c r="D116" s="560"/>
      <c r="E116" s="121"/>
      <c r="F116" s="155">
        <v>25</v>
      </c>
      <c r="G116" s="122">
        <v>5</v>
      </c>
      <c r="H116" s="121"/>
      <c r="I116" s="557" t="s">
        <v>2415</v>
      </c>
      <c r="J116" s="557"/>
      <c r="K116" s="122">
        <v>9</v>
      </c>
      <c r="L116" s="122">
        <v>3</v>
      </c>
      <c r="M116" s="122">
        <v>3</v>
      </c>
      <c r="N116" s="122" t="e">
        <f t="shared" si="17"/>
        <v>#N/A</v>
      </c>
      <c r="O116" s="532" t="e">
        <f ca="1" t="shared" si="18"/>
        <v>#N/A</v>
      </c>
      <c r="P116" s="532"/>
      <c r="Q116" s="557" t="e">
        <f t="shared" si="19"/>
        <v>#N/A</v>
      </c>
      <c r="R116" s="558"/>
      <c r="T116" s="559" t="s">
        <v>1058</v>
      </c>
      <c r="U116" s="560"/>
      <c r="V116" s="560"/>
      <c r="W116" s="121"/>
      <c r="X116" s="160" t="s">
        <v>2390</v>
      </c>
    </row>
    <row r="117" spans="2:24" ht="12.75">
      <c r="B117" s="559" t="s">
        <v>614</v>
      </c>
      <c r="C117" s="560"/>
      <c r="D117" s="560"/>
      <c r="E117" s="121"/>
      <c r="F117" s="155">
        <v>35</v>
      </c>
      <c r="G117" s="122">
        <v>5</v>
      </c>
      <c r="H117" s="121"/>
      <c r="I117" s="557" t="s">
        <v>2415</v>
      </c>
      <c r="J117" s="557"/>
      <c r="K117" s="122">
        <v>10</v>
      </c>
      <c r="L117" s="122">
        <v>3</v>
      </c>
      <c r="M117" s="122">
        <v>8</v>
      </c>
      <c r="N117" s="122" t="e">
        <f t="shared" si="17"/>
        <v>#N/A</v>
      </c>
      <c r="O117" s="532" t="e">
        <f ca="1" t="shared" si="18"/>
        <v>#N/A</v>
      </c>
      <c r="P117" s="532"/>
      <c r="Q117" s="557" t="e">
        <f t="shared" si="19"/>
        <v>#N/A</v>
      </c>
      <c r="R117" s="558"/>
      <c r="T117" s="559" t="s">
        <v>2642</v>
      </c>
      <c r="U117" s="560"/>
      <c r="V117" s="560"/>
      <c r="W117" s="121"/>
      <c r="X117" s="160" t="s">
        <v>2393</v>
      </c>
    </row>
    <row r="118" spans="2:24" ht="12.75">
      <c r="B118" s="559" t="s">
        <v>625</v>
      </c>
      <c r="C118" s="560"/>
      <c r="D118" s="560"/>
      <c r="E118" s="121"/>
      <c r="F118" s="155">
        <v>25</v>
      </c>
      <c r="G118" s="122">
        <v>5</v>
      </c>
      <c r="H118" s="121"/>
      <c r="I118" s="557" t="s">
        <v>2415</v>
      </c>
      <c r="J118" s="557"/>
      <c r="K118" s="122">
        <v>11</v>
      </c>
      <c r="L118" s="122">
        <v>3</v>
      </c>
      <c r="M118" s="122">
        <v>7</v>
      </c>
      <c r="N118" s="122" t="e">
        <f t="shared" si="17"/>
        <v>#N/A</v>
      </c>
      <c r="O118" s="532" t="e">
        <f ca="1" t="shared" si="18"/>
        <v>#N/A</v>
      </c>
      <c r="P118" s="532"/>
      <c r="Q118" s="557" t="e">
        <f t="shared" si="19"/>
        <v>#N/A</v>
      </c>
      <c r="R118" s="558"/>
      <c r="T118" s="559" t="s">
        <v>1062</v>
      </c>
      <c r="U118" s="560"/>
      <c r="V118" s="560"/>
      <c r="W118" s="121"/>
      <c r="X118" s="160" t="s">
        <v>2390</v>
      </c>
    </row>
    <row r="119" spans="2:24" ht="12.75">
      <c r="B119" s="559" t="s">
        <v>623</v>
      </c>
      <c r="C119" s="560"/>
      <c r="D119" s="560"/>
      <c r="E119" s="121"/>
      <c r="F119" s="122">
        <v>3</v>
      </c>
      <c r="G119" s="122">
        <v>4</v>
      </c>
      <c r="H119" s="121"/>
      <c r="I119" s="557" t="s">
        <v>641</v>
      </c>
      <c r="J119" s="557"/>
      <c r="K119" s="122">
        <v>11</v>
      </c>
      <c r="L119" s="122">
        <v>4</v>
      </c>
      <c r="M119" s="122">
        <v>4</v>
      </c>
      <c r="N119" s="122" t="e">
        <f t="shared" si="17"/>
        <v>#N/A</v>
      </c>
      <c r="O119" s="532" t="e">
        <f ca="1" t="shared" si="18"/>
        <v>#N/A</v>
      </c>
      <c r="P119" s="532"/>
      <c r="Q119" s="557" t="e">
        <f t="shared" si="19"/>
        <v>#N/A</v>
      </c>
      <c r="R119" s="558"/>
      <c r="T119" s="559" t="s">
        <v>17</v>
      </c>
      <c r="U119" s="560"/>
      <c r="V119" s="560"/>
      <c r="W119" s="121"/>
      <c r="X119" s="160" t="s">
        <v>2390</v>
      </c>
    </row>
    <row r="120" spans="2:24" ht="12.75">
      <c r="B120" s="559" t="s">
        <v>609</v>
      </c>
      <c r="C120" s="560"/>
      <c r="D120" s="560"/>
      <c r="E120" s="121"/>
      <c r="F120" s="155">
        <v>35</v>
      </c>
      <c r="G120" s="122">
        <v>6</v>
      </c>
      <c r="H120" s="121"/>
      <c r="I120" s="557" t="s">
        <v>2415</v>
      </c>
      <c r="J120" s="557"/>
      <c r="K120" s="122">
        <v>13</v>
      </c>
      <c r="L120" s="122">
        <v>4</v>
      </c>
      <c r="M120" s="122">
        <v>5</v>
      </c>
      <c r="N120" s="122" t="e">
        <f t="shared" si="17"/>
        <v>#N/A</v>
      </c>
      <c r="O120" s="532" t="e">
        <f ca="1" t="shared" si="18"/>
        <v>#N/A</v>
      </c>
      <c r="P120" s="532"/>
      <c r="Q120" s="557" t="e">
        <f t="shared" si="19"/>
        <v>#N/A</v>
      </c>
      <c r="R120" s="558"/>
      <c r="T120" s="559" t="s">
        <v>2635</v>
      </c>
      <c r="U120" s="560"/>
      <c r="V120" s="560"/>
      <c r="W120" s="121"/>
      <c r="X120" s="160" t="s">
        <v>2390</v>
      </c>
    </row>
    <row r="121" spans="2:24" ht="12.75">
      <c r="B121" s="559" t="s">
        <v>624</v>
      </c>
      <c r="C121" s="560"/>
      <c r="D121" s="560"/>
      <c r="E121" s="121"/>
      <c r="F121" s="155">
        <v>40</v>
      </c>
      <c r="G121" s="122">
        <v>6</v>
      </c>
      <c r="H121" s="121"/>
      <c r="I121" s="557" t="s">
        <v>2415</v>
      </c>
      <c r="J121" s="557"/>
      <c r="K121" s="122">
        <v>13</v>
      </c>
      <c r="L121" s="122">
        <v>4</v>
      </c>
      <c r="M121" s="122">
        <v>8</v>
      </c>
      <c r="N121" s="122" t="e">
        <f t="shared" si="17"/>
        <v>#N/A</v>
      </c>
      <c r="O121" s="532" t="e">
        <f ca="1" t="shared" si="18"/>
        <v>#N/A</v>
      </c>
      <c r="P121" s="532"/>
      <c r="Q121" s="557" t="e">
        <f t="shared" si="19"/>
        <v>#N/A</v>
      </c>
      <c r="R121" s="558"/>
      <c r="T121" s="559" t="s">
        <v>1065</v>
      </c>
      <c r="U121" s="560"/>
      <c r="V121" s="560"/>
      <c r="W121" s="121"/>
      <c r="X121" s="160" t="s">
        <v>2394</v>
      </c>
    </row>
    <row r="122" spans="2:24" ht="12.75">
      <c r="B122" s="559" t="s">
        <v>626</v>
      </c>
      <c r="C122" s="560"/>
      <c r="D122" s="560"/>
      <c r="E122" s="121"/>
      <c r="F122" s="155">
        <v>50</v>
      </c>
      <c r="G122" s="122">
        <v>6</v>
      </c>
      <c r="H122" s="121"/>
      <c r="I122" s="557" t="s">
        <v>2415</v>
      </c>
      <c r="J122" s="557"/>
      <c r="K122" s="122">
        <v>13</v>
      </c>
      <c r="L122" s="122">
        <v>4</v>
      </c>
      <c r="M122" s="122">
        <v>6</v>
      </c>
      <c r="N122" s="122" t="e">
        <f t="shared" si="17"/>
        <v>#N/A</v>
      </c>
      <c r="O122" s="532" t="e">
        <f ca="1" t="shared" si="18"/>
        <v>#N/A</v>
      </c>
      <c r="P122" s="532"/>
      <c r="Q122" s="557" t="e">
        <f t="shared" si="19"/>
        <v>#N/A</v>
      </c>
      <c r="R122" s="558"/>
      <c r="T122" s="559" t="s">
        <v>79</v>
      </c>
      <c r="U122" s="560"/>
      <c r="V122" s="560"/>
      <c r="W122" s="121"/>
      <c r="X122" s="160" t="s">
        <v>2390</v>
      </c>
    </row>
    <row r="123" spans="2:24" ht="12.75">
      <c r="B123" s="559" t="s">
        <v>620</v>
      </c>
      <c r="C123" s="560"/>
      <c r="D123" s="560"/>
      <c r="E123" s="121"/>
      <c r="F123" s="155">
        <v>5</v>
      </c>
      <c r="G123" s="122">
        <v>2</v>
      </c>
      <c r="H123" s="121"/>
      <c r="I123" s="557" t="s">
        <v>2415</v>
      </c>
      <c r="J123" s="557"/>
      <c r="K123" s="122">
        <v>5</v>
      </c>
      <c r="L123" s="122">
        <v>5</v>
      </c>
      <c r="M123" s="122">
        <v>4</v>
      </c>
      <c r="N123" s="122" t="e">
        <f t="shared" si="17"/>
        <v>#N/A</v>
      </c>
      <c r="O123" s="532" t="e">
        <f ca="1" t="shared" si="18"/>
        <v>#N/A</v>
      </c>
      <c r="P123" s="532"/>
      <c r="Q123" s="557" t="e">
        <f t="shared" si="19"/>
        <v>#N/A</v>
      </c>
      <c r="R123" s="558"/>
      <c r="T123" s="559" t="s">
        <v>104</v>
      </c>
      <c r="U123" s="560"/>
      <c r="V123" s="560"/>
      <c r="W123" s="121"/>
      <c r="X123" s="160" t="s">
        <v>2390</v>
      </c>
    </row>
    <row r="124" spans="2:24" ht="12.75">
      <c r="B124" s="559" t="s">
        <v>627</v>
      </c>
      <c r="C124" s="560"/>
      <c r="D124" s="560"/>
      <c r="E124" s="121"/>
      <c r="F124" s="155">
        <v>125</v>
      </c>
      <c r="G124" s="122">
        <v>7</v>
      </c>
      <c r="H124" s="121"/>
      <c r="I124" s="557" t="s">
        <v>2415</v>
      </c>
      <c r="J124" s="557"/>
      <c r="K124" s="122">
        <v>15</v>
      </c>
      <c r="L124" s="122">
        <v>5</v>
      </c>
      <c r="M124" s="122">
        <v>7</v>
      </c>
      <c r="N124" s="122" t="e">
        <f t="shared" si="17"/>
        <v>#N/A</v>
      </c>
      <c r="O124" s="532" t="e">
        <f ca="1" t="shared" si="18"/>
        <v>#N/A</v>
      </c>
      <c r="P124" s="532"/>
      <c r="Q124" s="557" t="e">
        <f t="shared" si="19"/>
        <v>#N/A</v>
      </c>
      <c r="R124" s="558"/>
      <c r="T124" s="559" t="s">
        <v>1069</v>
      </c>
      <c r="U124" s="560"/>
      <c r="V124" s="560"/>
      <c r="W124" s="121"/>
      <c r="X124" s="160" t="s">
        <v>2393</v>
      </c>
    </row>
    <row r="125" spans="2:24" ht="12.75">
      <c r="B125" s="559" t="s">
        <v>628</v>
      </c>
      <c r="C125" s="560"/>
      <c r="D125" s="560"/>
      <c r="E125" s="121"/>
      <c r="F125" s="155">
        <v>125</v>
      </c>
      <c r="G125" s="122">
        <v>7</v>
      </c>
      <c r="H125" s="121"/>
      <c r="I125" s="557" t="s">
        <v>2415</v>
      </c>
      <c r="J125" s="557"/>
      <c r="K125" s="122">
        <v>15</v>
      </c>
      <c r="L125" s="122">
        <v>5</v>
      </c>
      <c r="M125" s="122">
        <v>7</v>
      </c>
      <c r="N125" s="122" t="e">
        <f t="shared" si="17"/>
        <v>#N/A</v>
      </c>
      <c r="O125" s="532" t="e">
        <f ca="1" t="shared" si="18"/>
        <v>#N/A</v>
      </c>
      <c r="P125" s="532"/>
      <c r="Q125" s="557" t="e">
        <f t="shared" si="19"/>
        <v>#N/A</v>
      </c>
      <c r="R125" s="558"/>
      <c r="T125" s="559" t="s">
        <v>1070</v>
      </c>
      <c r="U125" s="560"/>
      <c r="V125" s="560"/>
      <c r="W125" s="121"/>
      <c r="X125" s="160" t="s">
        <v>2393</v>
      </c>
    </row>
    <row r="126" spans="2:24" ht="12.75">
      <c r="B126" s="559" t="s">
        <v>616</v>
      </c>
      <c r="C126" s="560"/>
      <c r="D126" s="560"/>
      <c r="E126" s="121"/>
      <c r="F126" s="155">
        <v>150</v>
      </c>
      <c r="G126" s="122">
        <v>5</v>
      </c>
      <c r="H126" s="121"/>
      <c r="I126" s="557" t="s">
        <v>2415</v>
      </c>
      <c r="J126" s="557"/>
      <c r="K126" s="122">
        <v>15</v>
      </c>
      <c r="L126" s="122">
        <v>6</v>
      </c>
      <c r="M126" s="122">
        <v>10</v>
      </c>
      <c r="N126" s="122" t="e">
        <f t="shared" si="17"/>
        <v>#N/A</v>
      </c>
      <c r="O126" s="532" t="e">
        <f ca="1" t="shared" si="18"/>
        <v>#N/A</v>
      </c>
      <c r="P126" s="532"/>
      <c r="Q126" s="557" t="e">
        <f t="shared" si="19"/>
        <v>#N/A</v>
      </c>
      <c r="R126" s="558"/>
      <c r="T126" s="559" t="s">
        <v>1071</v>
      </c>
      <c r="U126" s="560"/>
      <c r="V126" s="560"/>
      <c r="W126" s="121"/>
      <c r="X126" s="160" t="s">
        <v>2393</v>
      </c>
    </row>
    <row r="127" spans="2:24" ht="12.75">
      <c r="B127" s="559" t="s">
        <v>618</v>
      </c>
      <c r="C127" s="560"/>
      <c r="D127" s="560"/>
      <c r="E127" s="121"/>
      <c r="F127" s="155">
        <v>150</v>
      </c>
      <c r="G127" s="122">
        <v>8</v>
      </c>
      <c r="H127" s="121"/>
      <c r="I127" s="557" t="s">
        <v>2415</v>
      </c>
      <c r="J127" s="557"/>
      <c r="K127" s="122">
        <v>15</v>
      </c>
      <c r="L127" s="122">
        <v>6</v>
      </c>
      <c r="M127" s="122">
        <v>12</v>
      </c>
      <c r="N127" s="122" t="e">
        <f t="shared" si="17"/>
        <v>#N/A</v>
      </c>
      <c r="O127" s="532" t="e">
        <f ca="1" t="shared" si="18"/>
        <v>#N/A</v>
      </c>
      <c r="P127" s="532"/>
      <c r="Q127" s="557" t="e">
        <f t="shared" si="19"/>
        <v>#N/A</v>
      </c>
      <c r="R127" s="558"/>
      <c r="T127" s="559" t="s">
        <v>2653</v>
      </c>
      <c r="U127" s="560"/>
      <c r="V127" s="560"/>
      <c r="W127" s="121"/>
      <c r="X127" s="160" t="s">
        <v>1203</v>
      </c>
    </row>
    <row r="128" spans="2:24" ht="12.75">
      <c r="B128" s="559" t="s">
        <v>619</v>
      </c>
      <c r="C128" s="560"/>
      <c r="D128" s="560"/>
      <c r="E128" s="121"/>
      <c r="F128" s="155">
        <v>150</v>
      </c>
      <c r="G128" s="122">
        <v>8</v>
      </c>
      <c r="H128" s="121"/>
      <c r="I128" s="557" t="s">
        <v>2415</v>
      </c>
      <c r="J128" s="557"/>
      <c r="K128" s="122">
        <v>15</v>
      </c>
      <c r="L128" s="122">
        <v>6</v>
      </c>
      <c r="M128" s="122">
        <v>12</v>
      </c>
      <c r="N128" s="122" t="e">
        <f t="shared" si="17"/>
        <v>#N/A</v>
      </c>
      <c r="O128" s="532" t="e">
        <f ca="1" t="shared" si="18"/>
        <v>#N/A</v>
      </c>
      <c r="P128" s="532"/>
      <c r="Q128" s="557" t="e">
        <f t="shared" si="19"/>
        <v>#N/A</v>
      </c>
      <c r="R128" s="558"/>
      <c r="T128" s="559" t="s">
        <v>91</v>
      </c>
      <c r="U128" s="560"/>
      <c r="V128" s="560"/>
      <c r="W128" s="121"/>
      <c r="X128" s="160" t="s">
        <v>2390</v>
      </c>
    </row>
    <row r="129" spans="2:24" ht="12.75">
      <c r="B129" s="559" t="s">
        <v>2411</v>
      </c>
      <c r="C129" s="560"/>
      <c r="D129" s="560"/>
      <c r="E129" s="121"/>
      <c r="F129" s="122">
        <v>2</v>
      </c>
      <c r="G129" s="122">
        <v>1</v>
      </c>
      <c r="H129" s="121"/>
      <c r="I129" s="557" t="s">
        <v>2413</v>
      </c>
      <c r="J129" s="557"/>
      <c r="K129" s="122">
        <v>1</v>
      </c>
      <c r="L129" s="122">
        <v>1</v>
      </c>
      <c r="M129" s="122">
        <v>0.6</v>
      </c>
      <c r="N129" s="122" t="e">
        <f t="shared" si="17"/>
        <v>#N/A</v>
      </c>
      <c r="O129" s="532" t="e">
        <f ca="1" t="shared" si="18"/>
        <v>#N/A</v>
      </c>
      <c r="P129" s="532"/>
      <c r="Q129" s="557" t="e">
        <f t="shared" si="19"/>
        <v>#N/A</v>
      </c>
      <c r="R129" s="558"/>
      <c r="T129" s="559" t="s">
        <v>40</v>
      </c>
      <c r="U129" s="560"/>
      <c r="V129" s="560"/>
      <c r="W129" s="121"/>
      <c r="X129" s="160" t="s">
        <v>2390</v>
      </c>
    </row>
    <row r="130" spans="2:24" ht="12.75">
      <c r="B130" s="559" t="s">
        <v>649</v>
      </c>
      <c r="C130" s="560"/>
      <c r="D130" s="560"/>
      <c r="E130" s="121"/>
      <c r="F130" s="122">
        <v>0.5</v>
      </c>
      <c r="G130" s="122">
        <v>1</v>
      </c>
      <c r="H130" s="121"/>
      <c r="I130" s="557" t="s">
        <v>650</v>
      </c>
      <c r="J130" s="557"/>
      <c r="K130" s="122">
        <v>5</v>
      </c>
      <c r="L130" s="122">
        <v>1</v>
      </c>
      <c r="M130" s="122">
        <v>0.1</v>
      </c>
      <c r="N130" s="122" t="e">
        <f t="shared" si="17"/>
        <v>#N/A</v>
      </c>
      <c r="O130" s="532" t="e">
        <f ca="1" t="shared" si="18"/>
        <v>#N/A</v>
      </c>
      <c r="P130" s="532"/>
      <c r="Q130" s="557" t="e">
        <f t="shared" si="19"/>
        <v>#N/A</v>
      </c>
      <c r="R130" s="558"/>
      <c r="T130" s="559" t="s">
        <v>2700</v>
      </c>
      <c r="U130" s="560"/>
      <c r="V130" s="560"/>
      <c r="W130" s="121"/>
      <c r="X130" s="160" t="s">
        <v>2390</v>
      </c>
    </row>
    <row r="131" spans="2:24" ht="12.75">
      <c r="B131" s="559" t="s">
        <v>658</v>
      </c>
      <c r="C131" s="560"/>
      <c r="D131" s="560"/>
      <c r="E131" s="121"/>
      <c r="F131" s="122">
        <v>2</v>
      </c>
      <c r="G131" s="122">
        <v>2</v>
      </c>
      <c r="H131" s="121"/>
      <c r="I131" s="557" t="s">
        <v>647</v>
      </c>
      <c r="J131" s="557"/>
      <c r="K131" s="122">
        <v>12</v>
      </c>
      <c r="L131" s="122">
        <v>1</v>
      </c>
      <c r="M131" s="122">
        <v>0.8</v>
      </c>
      <c r="N131" s="122" t="e">
        <f t="shared" si="17"/>
        <v>#N/A</v>
      </c>
      <c r="O131" s="532" t="e">
        <f ca="1" t="shared" si="18"/>
        <v>#N/A</v>
      </c>
      <c r="P131" s="532"/>
      <c r="Q131" s="557" t="e">
        <f t="shared" si="19"/>
        <v>#N/A</v>
      </c>
      <c r="R131" s="558"/>
      <c r="T131" s="559" t="s">
        <v>1074</v>
      </c>
      <c r="U131" s="560"/>
      <c r="V131" s="560"/>
      <c r="W131" s="121"/>
      <c r="X131" s="160" t="s">
        <v>2390</v>
      </c>
    </row>
    <row r="132" spans="2:24" ht="12.75">
      <c r="B132" s="559" t="s">
        <v>2414</v>
      </c>
      <c r="C132" s="560"/>
      <c r="D132" s="560"/>
      <c r="E132" s="121"/>
      <c r="F132" s="122">
        <v>2</v>
      </c>
      <c r="G132" s="122">
        <v>0</v>
      </c>
      <c r="H132" s="121"/>
      <c r="I132" s="557" t="s">
        <v>2413</v>
      </c>
      <c r="J132" s="557"/>
      <c r="K132" s="122">
        <v>4</v>
      </c>
      <c r="L132" s="122">
        <v>2</v>
      </c>
      <c r="M132" s="122">
        <v>2</v>
      </c>
      <c r="N132" s="122">
        <f t="shared" si="17"/>
        <v>0</v>
      </c>
      <c r="O132" s="532" t="str">
        <f ca="1" t="shared" si="18"/>
        <v>-</v>
      </c>
      <c r="P132" s="532"/>
      <c r="Q132" s="557" t="e">
        <f t="shared" si="19"/>
        <v>#N/A</v>
      </c>
      <c r="R132" s="558"/>
      <c r="T132" s="559" t="s">
        <v>2664</v>
      </c>
      <c r="U132" s="560"/>
      <c r="V132" s="560"/>
      <c r="W132" s="121"/>
      <c r="X132" s="160" t="s">
        <v>2391</v>
      </c>
    </row>
    <row r="133" spans="2:24" ht="12.75">
      <c r="B133" s="559" t="s">
        <v>640</v>
      </c>
      <c r="C133" s="560"/>
      <c r="D133" s="560"/>
      <c r="E133" s="121"/>
      <c r="F133" s="122">
        <v>3</v>
      </c>
      <c r="G133" s="122">
        <v>2</v>
      </c>
      <c r="H133" s="121"/>
      <c r="I133" s="557" t="s">
        <v>641</v>
      </c>
      <c r="J133" s="557"/>
      <c r="K133" s="122">
        <v>7</v>
      </c>
      <c r="L133" s="122">
        <v>2</v>
      </c>
      <c r="M133" s="122">
        <v>2</v>
      </c>
      <c r="N133" s="122" t="e">
        <f t="shared" si="17"/>
        <v>#N/A</v>
      </c>
      <c r="O133" s="532" t="e">
        <f ca="1" t="shared" si="18"/>
        <v>#N/A</v>
      </c>
      <c r="P133" s="532"/>
      <c r="Q133" s="557" t="e">
        <f t="shared" si="19"/>
        <v>#N/A</v>
      </c>
      <c r="R133" s="558"/>
      <c r="T133" s="559" t="s">
        <v>2633</v>
      </c>
      <c r="U133" s="560"/>
      <c r="V133" s="560"/>
      <c r="W133" s="121"/>
      <c r="X133" s="160" t="s">
        <v>2390</v>
      </c>
    </row>
    <row r="134" spans="2:24" ht="12.75">
      <c r="B134" s="559" t="s">
        <v>659</v>
      </c>
      <c r="C134" s="560"/>
      <c r="D134" s="560"/>
      <c r="E134" s="121"/>
      <c r="F134" s="122">
        <v>2</v>
      </c>
      <c r="G134" s="122">
        <v>2</v>
      </c>
      <c r="H134" s="121"/>
      <c r="I134" s="557" t="s">
        <v>652</v>
      </c>
      <c r="J134" s="557"/>
      <c r="K134" s="122">
        <v>4</v>
      </c>
      <c r="L134" s="122">
        <v>2</v>
      </c>
      <c r="M134" s="122">
        <v>0.5</v>
      </c>
      <c r="N134" s="122" t="e">
        <f t="shared" si="17"/>
        <v>#N/A</v>
      </c>
      <c r="O134" s="532" t="e">
        <f ca="1" t="shared" si="18"/>
        <v>#N/A</v>
      </c>
      <c r="P134" s="532"/>
      <c r="Q134" s="557" t="e">
        <f t="shared" si="19"/>
        <v>#N/A</v>
      </c>
      <c r="R134" s="558"/>
      <c r="T134" s="559" t="s">
        <v>99</v>
      </c>
      <c r="U134" s="560"/>
      <c r="V134" s="560"/>
      <c r="W134" s="121"/>
      <c r="X134" s="160" t="s">
        <v>2395</v>
      </c>
    </row>
    <row r="135" spans="2:24" ht="12.75">
      <c r="B135" s="559" t="s">
        <v>644</v>
      </c>
      <c r="C135" s="560"/>
      <c r="D135" s="560"/>
      <c r="E135" s="121"/>
      <c r="F135" s="122">
        <v>10</v>
      </c>
      <c r="G135" s="122">
        <v>3</v>
      </c>
      <c r="H135" s="121"/>
      <c r="I135" s="557" t="s">
        <v>645</v>
      </c>
      <c r="J135" s="557"/>
      <c r="K135" s="122">
        <v>4</v>
      </c>
      <c r="L135" s="122">
        <v>2</v>
      </c>
      <c r="M135" s="122">
        <v>1</v>
      </c>
      <c r="N135" s="122" t="e">
        <f t="shared" si="17"/>
        <v>#N/A</v>
      </c>
      <c r="O135" s="532" t="e">
        <f ca="1" t="shared" si="18"/>
        <v>#N/A</v>
      </c>
      <c r="P135" s="532"/>
      <c r="Q135" s="557" t="e">
        <f t="shared" si="19"/>
        <v>#N/A</v>
      </c>
      <c r="R135" s="558"/>
      <c r="T135" s="559" t="s">
        <v>2627</v>
      </c>
      <c r="U135" s="560"/>
      <c r="V135" s="560"/>
      <c r="W135" s="121"/>
      <c r="X135" s="160" t="s">
        <v>2393</v>
      </c>
    </row>
    <row r="136" spans="2:24" ht="12.75">
      <c r="B136" s="559" t="s">
        <v>646</v>
      </c>
      <c r="C136" s="560"/>
      <c r="D136" s="560"/>
      <c r="E136" s="121"/>
      <c r="F136" s="122">
        <v>6</v>
      </c>
      <c r="G136" s="122">
        <v>5</v>
      </c>
      <c r="H136" s="121"/>
      <c r="I136" s="557" t="s">
        <v>647</v>
      </c>
      <c r="J136" s="557"/>
      <c r="K136" s="122">
        <v>5</v>
      </c>
      <c r="L136" s="122">
        <v>3</v>
      </c>
      <c r="M136" s="122">
        <v>0.5</v>
      </c>
      <c r="N136" s="122" t="e">
        <f t="shared" si="17"/>
        <v>#N/A</v>
      </c>
      <c r="O136" s="532" t="e">
        <f ca="1" t="shared" si="18"/>
        <v>#N/A</v>
      </c>
      <c r="P136" s="532"/>
      <c r="Q136" s="557" t="e">
        <f t="shared" si="19"/>
        <v>#N/A</v>
      </c>
      <c r="R136" s="558"/>
      <c r="T136" s="559" t="s">
        <v>2696</v>
      </c>
      <c r="U136" s="560"/>
      <c r="V136" s="560"/>
      <c r="W136" s="121"/>
      <c r="X136" s="160" t="s">
        <v>2391</v>
      </c>
    </row>
    <row r="137" spans="2:24" ht="12.75">
      <c r="B137" s="559" t="s">
        <v>655</v>
      </c>
      <c r="C137" s="560"/>
      <c r="D137" s="560"/>
      <c r="E137" s="121"/>
      <c r="F137" s="122">
        <v>6</v>
      </c>
      <c r="G137" s="122">
        <v>0</v>
      </c>
      <c r="H137" s="121"/>
      <c r="I137" s="557" t="s">
        <v>2413</v>
      </c>
      <c r="J137" s="557"/>
      <c r="K137" s="122">
        <v>9</v>
      </c>
      <c r="L137" s="122">
        <v>6</v>
      </c>
      <c r="M137" s="122">
        <v>5</v>
      </c>
      <c r="N137" s="122">
        <f t="shared" si="17"/>
        <v>0</v>
      </c>
      <c r="O137" s="532" t="str">
        <f ca="1" t="shared" si="18"/>
        <v>-</v>
      </c>
      <c r="P137" s="532"/>
      <c r="Q137" s="557" t="e">
        <f t="shared" si="19"/>
        <v>#N/A</v>
      </c>
      <c r="R137" s="558"/>
      <c r="T137" s="559" t="s">
        <v>2645</v>
      </c>
      <c r="U137" s="560"/>
      <c r="V137" s="560"/>
      <c r="W137" s="121"/>
      <c r="X137" s="160" t="s">
        <v>2390</v>
      </c>
    </row>
    <row r="138" spans="2:24" ht="12.75">
      <c r="B138" s="559" t="s">
        <v>651</v>
      </c>
      <c r="C138" s="560"/>
      <c r="D138" s="560"/>
      <c r="E138" s="121"/>
      <c r="F138" s="122">
        <v>25</v>
      </c>
      <c r="G138" s="122">
        <v>2</v>
      </c>
      <c r="H138" s="121"/>
      <c r="I138" s="557" t="s">
        <v>652</v>
      </c>
      <c r="J138" s="557"/>
      <c r="K138" s="122">
        <v>12</v>
      </c>
      <c r="L138" s="122">
        <v>1</v>
      </c>
      <c r="M138" s="122">
        <v>0.8</v>
      </c>
      <c r="N138" s="122" t="e">
        <f t="shared" si="17"/>
        <v>#N/A</v>
      </c>
      <c r="O138" s="532" t="e">
        <f ca="1" t="shared" si="18"/>
        <v>#N/A</v>
      </c>
      <c r="P138" s="532"/>
      <c r="Q138" s="557" t="e">
        <f t="shared" si="19"/>
        <v>#N/A</v>
      </c>
      <c r="R138" s="558"/>
      <c r="T138" s="559" t="s">
        <v>2672</v>
      </c>
      <c r="U138" s="560"/>
      <c r="V138" s="560"/>
      <c r="W138" s="121"/>
      <c r="X138" s="160" t="s">
        <v>2390</v>
      </c>
    </row>
    <row r="139" spans="2:24" ht="12.75">
      <c r="B139" s="559" t="s">
        <v>2408</v>
      </c>
      <c r="C139" s="560"/>
      <c r="D139" s="560"/>
      <c r="E139" s="121"/>
      <c r="F139" s="122">
        <v>25</v>
      </c>
      <c r="G139" s="122">
        <v>3</v>
      </c>
      <c r="H139" s="121"/>
      <c r="I139" s="557" t="s">
        <v>2410</v>
      </c>
      <c r="J139" s="557"/>
      <c r="K139" s="122">
        <v>5</v>
      </c>
      <c r="L139" s="122">
        <v>2</v>
      </c>
      <c r="M139" s="122">
        <v>0.9</v>
      </c>
      <c r="N139" s="122" t="e">
        <f t="shared" si="17"/>
        <v>#N/A</v>
      </c>
      <c r="O139" s="532" t="e">
        <f ca="1" t="shared" si="18"/>
        <v>#N/A</v>
      </c>
      <c r="P139" s="532"/>
      <c r="Q139" s="557" t="e">
        <f t="shared" si="19"/>
        <v>#N/A</v>
      </c>
      <c r="R139" s="558"/>
      <c r="T139" s="559" t="s">
        <v>107</v>
      </c>
      <c r="U139" s="560"/>
      <c r="V139" s="560"/>
      <c r="W139" s="121"/>
      <c r="X139" s="160" t="s">
        <v>2395</v>
      </c>
    </row>
    <row r="140" spans="2:24" ht="12.75">
      <c r="B140" s="559" t="s">
        <v>638</v>
      </c>
      <c r="C140" s="560"/>
      <c r="D140" s="560"/>
      <c r="E140" s="121"/>
      <c r="F140" s="122">
        <v>15</v>
      </c>
      <c r="G140" s="122">
        <v>3</v>
      </c>
      <c r="H140" s="121"/>
      <c r="I140" s="557" t="s">
        <v>639</v>
      </c>
      <c r="J140" s="557"/>
      <c r="K140" s="122">
        <v>10</v>
      </c>
      <c r="L140" s="122">
        <v>3</v>
      </c>
      <c r="M140" s="122">
        <v>3</v>
      </c>
      <c r="N140" s="122" t="e">
        <f t="shared" si="17"/>
        <v>#N/A</v>
      </c>
      <c r="O140" s="532" t="e">
        <f ca="1" t="shared" si="18"/>
        <v>#N/A</v>
      </c>
      <c r="P140" s="532"/>
      <c r="Q140" s="557" t="e">
        <f t="shared" si="19"/>
        <v>#N/A</v>
      </c>
      <c r="R140" s="558"/>
      <c r="T140" s="559" t="s">
        <v>2634</v>
      </c>
      <c r="U140" s="560"/>
      <c r="V140" s="560"/>
      <c r="W140" s="121"/>
      <c r="X140" s="160" t="s">
        <v>2395</v>
      </c>
    </row>
    <row r="141" spans="2:24" ht="12.75">
      <c r="B141" s="559" t="s">
        <v>656</v>
      </c>
      <c r="C141" s="560"/>
      <c r="D141" s="560"/>
      <c r="E141" s="121"/>
      <c r="F141" s="122">
        <v>25</v>
      </c>
      <c r="G141" s="122">
        <v>3</v>
      </c>
      <c r="H141" s="121"/>
      <c r="I141" s="557" t="s">
        <v>657</v>
      </c>
      <c r="J141" s="557"/>
      <c r="K141" s="122">
        <v>5</v>
      </c>
      <c r="L141" s="122">
        <v>3</v>
      </c>
      <c r="M141" s="122">
        <v>3</v>
      </c>
      <c r="N141" s="122" t="e">
        <f t="shared" si="17"/>
        <v>#N/A</v>
      </c>
      <c r="O141" s="532" t="e">
        <f ca="1" t="shared" si="18"/>
        <v>#N/A</v>
      </c>
      <c r="P141" s="532"/>
      <c r="Q141" s="557" t="e">
        <f t="shared" si="19"/>
        <v>#N/A</v>
      </c>
      <c r="R141" s="558"/>
      <c r="T141" s="559" t="s">
        <v>1079</v>
      </c>
      <c r="U141" s="560"/>
      <c r="V141" s="560"/>
      <c r="W141" s="121"/>
      <c r="X141" s="160" t="s">
        <v>2390</v>
      </c>
    </row>
    <row r="142" spans="2:24" ht="12.75">
      <c r="B142" s="559" t="s">
        <v>653</v>
      </c>
      <c r="C142" s="560"/>
      <c r="D142" s="560"/>
      <c r="E142" s="121"/>
      <c r="F142" s="122">
        <v>125</v>
      </c>
      <c r="G142" s="122">
        <v>4</v>
      </c>
      <c r="H142" s="121"/>
      <c r="I142" s="557" t="s">
        <v>654</v>
      </c>
      <c r="J142" s="557"/>
      <c r="K142" s="122">
        <v>9</v>
      </c>
      <c r="L142" s="122">
        <v>3</v>
      </c>
      <c r="M142" s="122">
        <v>2</v>
      </c>
      <c r="N142" s="122" t="e">
        <f t="shared" si="17"/>
        <v>#N/A</v>
      </c>
      <c r="O142" s="532" t="e">
        <f ca="1" t="shared" si="18"/>
        <v>#N/A</v>
      </c>
      <c r="P142" s="532"/>
      <c r="Q142" s="557" t="e">
        <f t="shared" si="19"/>
        <v>#N/A</v>
      </c>
      <c r="R142" s="558"/>
      <c r="T142" s="559" t="s">
        <v>143</v>
      </c>
      <c r="U142" s="560"/>
      <c r="V142" s="560"/>
      <c r="W142" s="121"/>
      <c r="X142" s="160" t="s">
        <v>867</v>
      </c>
    </row>
    <row r="143" spans="2:24" ht="12.75">
      <c r="B143" s="559" t="s">
        <v>632</v>
      </c>
      <c r="C143" s="560"/>
      <c r="D143" s="560"/>
      <c r="E143" s="121"/>
      <c r="F143" s="122">
        <v>50</v>
      </c>
      <c r="G143" s="122">
        <v>4</v>
      </c>
      <c r="H143" s="121"/>
      <c r="I143" s="557" t="s">
        <v>633</v>
      </c>
      <c r="J143" s="557"/>
      <c r="K143" s="122">
        <v>10</v>
      </c>
      <c r="L143" s="122">
        <v>4</v>
      </c>
      <c r="M143" s="122">
        <v>5</v>
      </c>
      <c r="N143" s="122" t="e">
        <f t="shared" si="17"/>
        <v>#N/A</v>
      </c>
      <c r="O143" s="532" t="e">
        <f ca="1" t="shared" si="18"/>
        <v>#N/A</v>
      </c>
      <c r="P143" s="532"/>
      <c r="Q143" s="557" t="e">
        <f t="shared" si="19"/>
        <v>#N/A</v>
      </c>
      <c r="R143" s="558"/>
      <c r="T143" s="559" t="s">
        <v>2693</v>
      </c>
      <c r="U143" s="560"/>
      <c r="V143" s="560"/>
      <c r="W143" s="121"/>
      <c r="X143" s="160" t="s">
        <v>2390</v>
      </c>
    </row>
    <row r="144" spans="2:24" ht="12.75">
      <c r="B144" s="559" t="s">
        <v>642</v>
      </c>
      <c r="C144" s="560"/>
      <c r="D144" s="560"/>
      <c r="E144" s="121"/>
      <c r="F144" s="122">
        <v>15</v>
      </c>
      <c r="G144" s="122">
        <v>4</v>
      </c>
      <c r="H144" s="121"/>
      <c r="I144" s="557" t="s">
        <v>643</v>
      </c>
      <c r="J144" s="557"/>
      <c r="K144" s="122">
        <v>15</v>
      </c>
      <c r="L144" s="122">
        <v>4</v>
      </c>
      <c r="M144" s="122">
        <v>3</v>
      </c>
      <c r="N144" s="122" t="e">
        <f t="shared" si="17"/>
        <v>#N/A</v>
      </c>
      <c r="O144" s="532" t="e">
        <f ca="1" t="shared" si="18"/>
        <v>#N/A</v>
      </c>
      <c r="P144" s="532"/>
      <c r="Q144" s="557" t="e">
        <f t="shared" si="19"/>
        <v>#N/A</v>
      </c>
      <c r="R144" s="558"/>
      <c r="T144" s="559" t="s">
        <v>2639</v>
      </c>
      <c r="U144" s="560"/>
      <c r="V144" s="560"/>
      <c r="W144" s="121"/>
      <c r="X144" s="160" t="s">
        <v>2394</v>
      </c>
    </row>
    <row r="145" spans="2:24" ht="12.75">
      <c r="B145" s="559" t="s">
        <v>634</v>
      </c>
      <c r="C145" s="560"/>
      <c r="D145" s="560"/>
      <c r="E145" s="121"/>
      <c r="F145" s="122">
        <v>60</v>
      </c>
      <c r="G145" s="122">
        <v>4</v>
      </c>
      <c r="H145" s="121"/>
      <c r="I145" s="557" t="s">
        <v>635</v>
      </c>
      <c r="J145" s="557"/>
      <c r="K145" s="122">
        <v>13</v>
      </c>
      <c r="L145" s="122">
        <v>5</v>
      </c>
      <c r="M145" s="122">
        <v>4</v>
      </c>
      <c r="N145" s="122" t="e">
        <f t="shared" si="17"/>
        <v>#N/A</v>
      </c>
      <c r="O145" s="532" t="e">
        <f ca="1" t="shared" si="18"/>
        <v>#N/A</v>
      </c>
      <c r="P145" s="532"/>
      <c r="Q145" s="557" t="e">
        <f t="shared" si="19"/>
        <v>#N/A</v>
      </c>
      <c r="R145" s="558"/>
      <c r="T145" s="559" t="s">
        <v>2636</v>
      </c>
      <c r="U145" s="560"/>
      <c r="V145" s="560"/>
      <c r="W145" s="121"/>
      <c r="X145" s="160" t="s">
        <v>2390</v>
      </c>
    </row>
    <row r="146" spans="2:24" ht="12.75">
      <c r="B146" s="559" t="s">
        <v>630</v>
      </c>
      <c r="C146" s="560"/>
      <c r="D146" s="560"/>
      <c r="E146" s="121"/>
      <c r="F146" s="122">
        <v>200</v>
      </c>
      <c r="G146" s="122">
        <v>5</v>
      </c>
      <c r="H146" s="121"/>
      <c r="I146" s="557" t="s">
        <v>631</v>
      </c>
      <c r="J146" s="557"/>
      <c r="K146" s="122">
        <v>13</v>
      </c>
      <c r="L146" s="122">
        <v>5</v>
      </c>
      <c r="M146" s="122">
        <v>4</v>
      </c>
      <c r="N146" s="122" t="e">
        <f t="shared" si="17"/>
        <v>#N/A</v>
      </c>
      <c r="O146" s="532" t="e">
        <f ca="1" t="shared" si="18"/>
        <v>#N/A</v>
      </c>
      <c r="P146" s="532"/>
      <c r="Q146" s="557" t="e">
        <f t="shared" si="19"/>
        <v>#N/A</v>
      </c>
      <c r="R146" s="558"/>
      <c r="T146" s="559" t="s">
        <v>124</v>
      </c>
      <c r="U146" s="560"/>
      <c r="V146" s="560"/>
      <c r="W146" s="121"/>
      <c r="X146" s="160" t="s">
        <v>2391</v>
      </c>
    </row>
    <row r="147" spans="2:24" ht="12.75">
      <c r="B147" s="559" t="s">
        <v>636</v>
      </c>
      <c r="C147" s="560"/>
      <c r="D147" s="560"/>
      <c r="E147" s="121"/>
      <c r="F147" s="122">
        <v>100</v>
      </c>
      <c r="G147" s="122">
        <v>5</v>
      </c>
      <c r="H147" s="121"/>
      <c r="I147" s="557" t="s">
        <v>637</v>
      </c>
      <c r="J147" s="557"/>
      <c r="K147" s="122">
        <v>13</v>
      </c>
      <c r="L147" s="122">
        <v>5</v>
      </c>
      <c r="M147" s="122">
        <v>6</v>
      </c>
      <c r="N147" s="122" t="e">
        <f t="shared" si="17"/>
        <v>#N/A</v>
      </c>
      <c r="O147" s="532" t="e">
        <f ca="1" t="shared" si="18"/>
        <v>#N/A</v>
      </c>
      <c r="P147" s="532"/>
      <c r="Q147" s="557" t="e">
        <f t="shared" si="19"/>
        <v>#N/A</v>
      </c>
      <c r="R147" s="558"/>
      <c r="T147" s="559" t="s">
        <v>110</v>
      </c>
      <c r="U147" s="560"/>
      <c r="V147" s="560"/>
      <c r="W147" s="121"/>
      <c r="X147" s="160" t="s">
        <v>867</v>
      </c>
    </row>
    <row r="148" spans="2:24" ht="12.75">
      <c r="B148" s="545"/>
      <c r="C148" s="546"/>
      <c r="D148" s="546"/>
      <c r="E148" s="121"/>
      <c r="F148" s="121"/>
      <c r="G148" s="121"/>
      <c r="H148" s="121"/>
      <c r="I148" s="561"/>
      <c r="J148" s="561"/>
      <c r="K148" s="121"/>
      <c r="L148" s="121"/>
      <c r="M148" s="121"/>
      <c r="N148" s="122" t="str">
        <f>IF(B148&lt;&gt;"",G148+IF(G148&gt;0,StrStep,0)+H148," ")</f>
        <v> </v>
      </c>
      <c r="O148" s="532" t="str">
        <f ca="1">IF(B148&lt;&gt;"",OFFSET(ActionDice,N148,0)," ")</f>
        <v> </v>
      </c>
      <c r="P148" s="532"/>
      <c r="Q148" s="557" t="str">
        <f>IF(B148&lt;&gt;"",IF(L148&gt;IF(I148="- / - / -",RaceWeaponMissile,RaceWeapon2H),"Too large",IF(L148&gt;RaceWeapon1H,"Two-handed",IF(L148&lt;RaceWeaponMin,"Too small","-")))," ")</f>
        <v> </v>
      </c>
      <c r="R148" s="558"/>
      <c r="T148" s="559" t="s">
        <v>2678</v>
      </c>
      <c r="U148" s="560"/>
      <c r="V148" s="560"/>
      <c r="W148" s="121"/>
      <c r="X148" s="160" t="s">
        <v>2390</v>
      </c>
    </row>
    <row r="149" spans="2:24" ht="12.75">
      <c r="B149" s="545"/>
      <c r="C149" s="546"/>
      <c r="D149" s="546"/>
      <c r="E149" s="121"/>
      <c r="F149" s="121"/>
      <c r="G149" s="121"/>
      <c r="H149" s="121"/>
      <c r="I149" s="561"/>
      <c r="J149" s="561"/>
      <c r="K149" s="121"/>
      <c r="L149" s="121"/>
      <c r="M149" s="121"/>
      <c r="N149" s="122" t="str">
        <f>IF(B149&lt;&gt;"",G149+IF(G149&gt;0,StrStep,0)+H149," ")</f>
        <v> </v>
      </c>
      <c r="O149" s="532" t="str">
        <f ca="1">IF(B149&lt;&gt;"",OFFSET(ActionDice,N149,0)," ")</f>
        <v> </v>
      </c>
      <c r="P149" s="532"/>
      <c r="Q149" s="557" t="str">
        <f>IF(B149&lt;&gt;"",IF(L149&gt;IF(I149="- / - / -",RaceWeaponMissile,RaceWeapon2H),"Too large",IF(L149&gt;RaceWeapon1H,"Two-handed",IF(L149&lt;RaceWeaponMin,"Too small","-")))," ")</f>
        <v> </v>
      </c>
      <c r="R149" s="558"/>
      <c r="T149" s="559" t="s">
        <v>7</v>
      </c>
      <c r="U149" s="560"/>
      <c r="V149" s="560"/>
      <c r="W149" s="121"/>
      <c r="X149" s="160" t="s">
        <v>2390</v>
      </c>
    </row>
    <row r="150" spans="2:24" ht="12.75">
      <c r="B150" s="545"/>
      <c r="C150" s="546"/>
      <c r="D150" s="546"/>
      <c r="E150" s="121"/>
      <c r="F150" s="121"/>
      <c r="G150" s="121"/>
      <c r="H150" s="121"/>
      <c r="I150" s="561"/>
      <c r="J150" s="561"/>
      <c r="K150" s="121"/>
      <c r="L150" s="121"/>
      <c r="M150" s="121"/>
      <c r="N150" s="122" t="str">
        <f>IF(B150&lt;&gt;"",G150+IF(G150&gt;0,StrStep,0)+H150," ")</f>
        <v> </v>
      </c>
      <c r="O150" s="532" t="str">
        <f ca="1">IF(B150&lt;&gt;"",OFFSET(ActionDice,N150,0)," ")</f>
        <v> </v>
      </c>
      <c r="P150" s="532"/>
      <c r="Q150" s="557" t="str">
        <f>IF(B150&lt;&gt;"",IF(L150&gt;IF(I150="- / - / -",RaceWeaponMissile,RaceWeapon2H),"Too large",IF(L150&gt;RaceWeapon1H,"Two-handed",IF(L150&lt;RaceWeaponMin,"Too small","-")))," ")</f>
        <v> </v>
      </c>
      <c r="R150" s="558"/>
      <c r="T150" s="559" t="s">
        <v>171</v>
      </c>
      <c r="U150" s="560"/>
      <c r="V150" s="560"/>
      <c r="W150" s="121"/>
      <c r="X150" s="160" t="s">
        <v>2390</v>
      </c>
    </row>
    <row r="151" spans="2:24" ht="13.5" thickBot="1">
      <c r="B151" s="547"/>
      <c r="C151" s="548"/>
      <c r="D151" s="548"/>
      <c r="E151" s="225"/>
      <c r="F151" s="225"/>
      <c r="G151" s="225"/>
      <c r="H151" s="225"/>
      <c r="I151" s="563"/>
      <c r="J151" s="563"/>
      <c r="K151" s="225"/>
      <c r="L151" s="225"/>
      <c r="M151" s="225"/>
      <c r="N151" s="163" t="str">
        <f>IF(B151&lt;&gt;"",G151+IF(G151&gt;0,StrStep,0)+H151," ")</f>
        <v> </v>
      </c>
      <c r="O151" s="534" t="str">
        <f ca="1">IF(B151&lt;&gt;"",OFFSET(ActionDice,N151,0)," ")</f>
        <v> </v>
      </c>
      <c r="P151" s="534"/>
      <c r="Q151" s="529" t="str">
        <f>IF(B151&lt;&gt;"",IF(L151&gt;IF(I151="- / - / -",RaceWeaponMissile,RaceWeapon2H),"Too large",IF(L151&gt;RaceWeapon1H,"Two-handed",IF(L151&lt;RaceWeaponMin,"Too small","-")))," ")</f>
        <v> </v>
      </c>
      <c r="R151" s="530"/>
      <c r="T151" s="567" t="s">
        <v>2641</v>
      </c>
      <c r="U151" s="568"/>
      <c r="V151" s="568"/>
      <c r="W151" s="225"/>
      <c r="X151" s="227" t="s">
        <v>2391</v>
      </c>
    </row>
    <row r="152" ht="12.75">
      <c r="Y152"/>
    </row>
    <row r="153" spans="1:31" s="116" customFormat="1" ht="13.5" thickBot="1">
      <c r="A153" s="214"/>
      <c r="B153" s="214"/>
      <c r="C153" s="214"/>
      <c r="D153" s="214"/>
      <c r="E153" s="106"/>
      <c r="F153" s="106"/>
      <c r="H153" s="214"/>
      <c r="I153" s="214"/>
      <c r="J153" s="214"/>
      <c r="K153" s="106"/>
      <c r="L153" s="106"/>
      <c r="N153" s="214"/>
      <c r="O153" s="214"/>
      <c r="P153" s="214"/>
      <c r="Q153" s="106"/>
      <c r="R153" s="106"/>
      <c r="T153" s="214"/>
      <c r="U153" s="214"/>
      <c r="V153" s="214"/>
      <c r="W153" s="106"/>
      <c r="X153" s="106"/>
      <c r="Z153" s="214"/>
      <c r="AA153" s="214"/>
      <c r="AB153" s="214"/>
      <c r="AC153" s="106"/>
      <c r="AD153" s="106"/>
      <c r="AE153" s="214"/>
    </row>
    <row r="154" spans="2:24" ht="12.75">
      <c r="B154" s="549" t="s">
        <v>1752</v>
      </c>
      <c r="C154" s="550"/>
      <c r="D154" s="550"/>
      <c r="E154" s="550"/>
      <c r="F154" s="261" t="s">
        <v>815</v>
      </c>
      <c r="G154" s="261" t="s">
        <v>2402</v>
      </c>
      <c r="H154" s="261" t="s">
        <v>2523</v>
      </c>
      <c r="I154" s="261" t="s">
        <v>2432</v>
      </c>
      <c r="J154" s="261" t="s">
        <v>2455</v>
      </c>
      <c r="K154" s="260" t="s">
        <v>2385</v>
      </c>
      <c r="M154" s="421" t="s">
        <v>1764</v>
      </c>
      <c r="N154" s="157"/>
      <c r="O154" s="157"/>
      <c r="P154" s="261" t="s">
        <v>2376</v>
      </c>
      <c r="Q154" s="261" t="s">
        <v>2527</v>
      </c>
      <c r="R154" s="261" t="s">
        <v>2385</v>
      </c>
      <c r="S154" s="260" t="s">
        <v>2432</v>
      </c>
      <c r="U154" s="421" t="s">
        <v>2526</v>
      </c>
      <c r="V154" s="157"/>
      <c r="W154" s="157"/>
      <c r="X154" s="260" t="s">
        <v>2527</v>
      </c>
    </row>
    <row r="155" spans="2:24" ht="12.75">
      <c r="B155" s="559" t="s">
        <v>2467</v>
      </c>
      <c r="C155" s="560"/>
      <c r="D155" s="560"/>
      <c r="E155" s="121"/>
      <c r="F155" s="122">
        <v>2</v>
      </c>
      <c r="G155" s="122">
        <v>0</v>
      </c>
      <c r="H155" s="122">
        <v>0</v>
      </c>
      <c r="I155" s="122" t="e">
        <f>ROUND(3*RaceArmorWeight,0)</f>
        <v>#N/A</v>
      </c>
      <c r="J155" s="122">
        <v>0</v>
      </c>
      <c r="K155" s="160" t="e">
        <f>ROUND(2*RaceArmorCost,0)</f>
        <v>#N/A</v>
      </c>
      <c r="M155" s="226" t="s">
        <v>1765</v>
      </c>
      <c r="N155" s="112"/>
      <c r="O155" s="112"/>
      <c r="P155" s="121"/>
      <c r="Q155" s="122">
        <v>2</v>
      </c>
      <c r="R155" s="122">
        <v>100</v>
      </c>
      <c r="S155" s="160">
        <v>1</v>
      </c>
      <c r="U155" s="243"/>
      <c r="V155" s="245"/>
      <c r="W155" s="245"/>
      <c r="X155" s="228"/>
    </row>
    <row r="156" spans="2:24" ht="12.75">
      <c r="B156" s="559" t="s">
        <v>2464</v>
      </c>
      <c r="C156" s="560"/>
      <c r="D156" s="560"/>
      <c r="E156" s="121"/>
      <c r="F156" s="122">
        <v>3</v>
      </c>
      <c r="G156" s="122">
        <v>0</v>
      </c>
      <c r="H156" s="122">
        <v>0</v>
      </c>
      <c r="I156" s="122" t="e">
        <f>ROUND(15*RaceArmorWeight,0)</f>
        <v>#N/A</v>
      </c>
      <c r="J156" s="122">
        <v>0</v>
      </c>
      <c r="K156" s="160" t="e">
        <f>ROUND(10*RaceArmorCost,0)</f>
        <v>#N/A</v>
      </c>
      <c r="M156" s="226" t="s">
        <v>931</v>
      </c>
      <c r="N156" s="112"/>
      <c r="O156" s="112"/>
      <c r="P156" s="121"/>
      <c r="Q156" s="122">
        <v>2</v>
      </c>
      <c r="R156" s="122">
        <v>180</v>
      </c>
      <c r="S156" s="160">
        <v>1</v>
      </c>
      <c r="U156" s="243"/>
      <c r="V156" s="245"/>
      <c r="W156" s="245"/>
      <c r="X156" s="228"/>
    </row>
    <row r="157" spans="2:24" ht="12.75">
      <c r="B157" s="559" t="s">
        <v>2404</v>
      </c>
      <c r="C157" s="560"/>
      <c r="D157" s="560"/>
      <c r="E157" s="121"/>
      <c r="F157" s="122">
        <v>4</v>
      </c>
      <c r="G157" s="122">
        <v>0</v>
      </c>
      <c r="H157" s="122">
        <v>0</v>
      </c>
      <c r="I157" s="122" t="e">
        <f>ROUND(20*RaceArmorWeight,0)</f>
        <v>#N/A</v>
      </c>
      <c r="J157" s="122">
        <v>0</v>
      </c>
      <c r="K157" s="160" t="e">
        <f>ROUND(20*RaceArmorCost,0)</f>
        <v>#N/A</v>
      </c>
      <c r="M157" s="226" t="s">
        <v>1766</v>
      </c>
      <c r="N157" s="112"/>
      <c r="O157" s="112"/>
      <c r="P157" s="121"/>
      <c r="Q157" s="122">
        <v>1</v>
      </c>
      <c r="R157" s="122">
        <v>325</v>
      </c>
      <c r="S157" s="160">
        <v>1</v>
      </c>
      <c r="U157" s="243"/>
      <c r="V157" s="245"/>
      <c r="W157" s="245"/>
      <c r="X157" s="228"/>
    </row>
    <row r="158" spans="2:24" ht="12.75">
      <c r="B158" s="559" t="s">
        <v>2462</v>
      </c>
      <c r="C158" s="560"/>
      <c r="D158" s="560"/>
      <c r="E158" s="121"/>
      <c r="F158" s="122">
        <v>5</v>
      </c>
      <c r="G158" s="122">
        <v>0</v>
      </c>
      <c r="H158" s="122">
        <v>1</v>
      </c>
      <c r="I158" s="122" t="e">
        <f>ROUND(20*RaceArmorWeight,0)</f>
        <v>#N/A</v>
      </c>
      <c r="J158" s="122">
        <v>0</v>
      </c>
      <c r="K158" s="160" t="e">
        <f>ROUND(40*RaceArmorCost,0)</f>
        <v>#N/A</v>
      </c>
      <c r="M158" s="226" t="s">
        <v>1767</v>
      </c>
      <c r="N158" s="112"/>
      <c r="O158" s="112"/>
      <c r="P158" s="121"/>
      <c r="Q158" s="122">
        <v>3</v>
      </c>
      <c r="R158" s="122">
        <v>450</v>
      </c>
      <c r="S158" s="160">
        <v>1</v>
      </c>
      <c r="U158" s="243"/>
      <c r="V158" s="245"/>
      <c r="W158" s="245"/>
      <c r="X158" s="228"/>
    </row>
    <row r="159" spans="2:24" ht="12.75">
      <c r="B159" s="559" t="s">
        <v>2463</v>
      </c>
      <c r="C159" s="560"/>
      <c r="D159" s="560"/>
      <c r="E159" s="121"/>
      <c r="F159" s="122">
        <v>5</v>
      </c>
      <c r="G159" s="122">
        <v>1</v>
      </c>
      <c r="H159" s="122">
        <v>1</v>
      </c>
      <c r="I159" s="122" t="e">
        <f>ROUND(25*RaceArmorWeight,0)</f>
        <v>#N/A</v>
      </c>
      <c r="J159" s="122">
        <v>0</v>
      </c>
      <c r="K159" s="160" t="e">
        <f>ROUND(50*RaceArmorCost,0)</f>
        <v>#N/A</v>
      </c>
      <c r="M159" s="226" t="s">
        <v>1768</v>
      </c>
      <c r="N159" s="112"/>
      <c r="O159" s="112"/>
      <c r="P159" s="121"/>
      <c r="Q159" s="122">
        <v>4</v>
      </c>
      <c r="R159" s="122">
        <v>275</v>
      </c>
      <c r="S159" s="160">
        <v>1</v>
      </c>
      <c r="U159" s="243"/>
      <c r="V159" s="245"/>
      <c r="W159" s="245"/>
      <c r="X159" s="228"/>
    </row>
    <row r="160" spans="2:24" ht="12.75">
      <c r="B160" s="559" t="s">
        <v>2466</v>
      </c>
      <c r="C160" s="560"/>
      <c r="D160" s="560"/>
      <c r="E160" s="121"/>
      <c r="F160" s="122">
        <v>3</v>
      </c>
      <c r="G160" s="122">
        <v>1</v>
      </c>
      <c r="H160" s="122">
        <v>0</v>
      </c>
      <c r="I160" s="122" t="e">
        <f>ROUND(20*RaceArmorWeight,0)</f>
        <v>#N/A</v>
      </c>
      <c r="J160" s="122">
        <v>0</v>
      </c>
      <c r="K160" s="160" t="e">
        <f>ROUND(100*RaceArmorCost,0)</f>
        <v>#N/A</v>
      </c>
      <c r="M160" s="226" t="s">
        <v>1769</v>
      </c>
      <c r="N160" s="112"/>
      <c r="O160" s="112"/>
      <c r="P160" s="121"/>
      <c r="Q160" s="122">
        <v>3</v>
      </c>
      <c r="R160" s="122">
        <v>300</v>
      </c>
      <c r="S160" s="160">
        <v>1</v>
      </c>
      <c r="U160" s="243"/>
      <c r="V160" s="245"/>
      <c r="W160" s="245"/>
      <c r="X160" s="228"/>
    </row>
    <row r="161" spans="2:24" ht="12.75">
      <c r="B161" s="559" t="s">
        <v>2469</v>
      </c>
      <c r="C161" s="560"/>
      <c r="D161" s="560"/>
      <c r="E161" s="121"/>
      <c r="F161" s="122">
        <v>6</v>
      </c>
      <c r="G161" s="122">
        <v>0</v>
      </c>
      <c r="H161" s="122">
        <v>2</v>
      </c>
      <c r="I161" s="122" t="e">
        <f>ROUND(30*RaceArmorWeight,0)</f>
        <v>#N/A</v>
      </c>
      <c r="J161" s="122">
        <v>0</v>
      </c>
      <c r="K161" s="160" t="e">
        <f>ROUND(110*RaceArmorCost,0)</f>
        <v>#N/A</v>
      </c>
      <c r="M161" s="226" t="s">
        <v>937</v>
      </c>
      <c r="N161" s="112"/>
      <c r="O161" s="112"/>
      <c r="P161" s="121"/>
      <c r="Q161" s="122">
        <v>10</v>
      </c>
      <c r="R161" s="122">
        <v>250</v>
      </c>
      <c r="S161" s="160">
        <v>1</v>
      </c>
      <c r="U161" s="243"/>
      <c r="V161" s="245"/>
      <c r="W161" s="245"/>
      <c r="X161" s="228"/>
    </row>
    <row r="162" spans="2:24" ht="12.75">
      <c r="B162" s="559" t="s">
        <v>2461</v>
      </c>
      <c r="C162" s="560"/>
      <c r="D162" s="560"/>
      <c r="E162" s="121"/>
      <c r="F162" s="122">
        <v>2</v>
      </c>
      <c r="G162" s="122">
        <v>3</v>
      </c>
      <c r="H162" s="122">
        <v>0</v>
      </c>
      <c r="I162" s="122" t="e">
        <f>ROUND(15*RaceArmorWeight,0)</f>
        <v>#N/A</v>
      </c>
      <c r="J162" s="122">
        <v>0</v>
      </c>
      <c r="K162" s="160" t="e">
        <f>ROUND(125*RaceArmorCost,0)</f>
        <v>#N/A</v>
      </c>
      <c r="M162" s="226" t="s">
        <v>938</v>
      </c>
      <c r="N162" s="112"/>
      <c r="O162" s="112"/>
      <c r="P162" s="121"/>
      <c r="Q162" s="122">
        <v>10</v>
      </c>
      <c r="R162" s="122">
        <v>200</v>
      </c>
      <c r="S162" s="160">
        <v>1</v>
      </c>
      <c r="U162" s="243"/>
      <c r="V162" s="245"/>
      <c r="W162" s="245"/>
      <c r="X162" s="228"/>
    </row>
    <row r="163" spans="2:24" ht="12.75">
      <c r="B163" s="559" t="s">
        <v>2458</v>
      </c>
      <c r="C163" s="560"/>
      <c r="D163" s="560"/>
      <c r="E163" s="121"/>
      <c r="F163" s="122">
        <v>7</v>
      </c>
      <c r="G163" s="122">
        <v>0</v>
      </c>
      <c r="H163" s="122">
        <v>3</v>
      </c>
      <c r="I163" s="122" t="e">
        <f>ROUND(40*RaceArmorWeight,0)</f>
        <v>#N/A</v>
      </c>
      <c r="J163" s="122">
        <v>0</v>
      </c>
      <c r="K163" s="160" t="e">
        <f>ROUND(180*RaceArmorCost,0)</f>
        <v>#N/A</v>
      </c>
      <c r="M163" s="226" t="s">
        <v>939</v>
      </c>
      <c r="N163" s="112"/>
      <c r="O163" s="112"/>
      <c r="P163" s="121"/>
      <c r="Q163" s="122">
        <v>10</v>
      </c>
      <c r="R163" s="122">
        <v>350</v>
      </c>
      <c r="S163" s="160">
        <v>1</v>
      </c>
      <c r="U163" s="243"/>
      <c r="V163" s="245"/>
      <c r="W163" s="245"/>
      <c r="X163" s="228"/>
    </row>
    <row r="164" spans="2:24" ht="13.5" thickBot="1">
      <c r="B164" s="559" t="s">
        <v>2457</v>
      </c>
      <c r="C164" s="560"/>
      <c r="D164" s="560"/>
      <c r="E164" s="121"/>
      <c r="F164" s="122">
        <v>5</v>
      </c>
      <c r="G164" s="122">
        <v>3</v>
      </c>
      <c r="H164" s="122">
        <v>1</v>
      </c>
      <c r="I164" s="122">
        <v>0</v>
      </c>
      <c r="J164" s="122">
        <v>4</v>
      </c>
      <c r="K164" s="160" t="e">
        <f>ROUND(300*RaceArmorCost,0)</f>
        <v>#N/A</v>
      </c>
      <c r="M164" s="226" t="s">
        <v>940</v>
      </c>
      <c r="N164" s="112"/>
      <c r="O164" s="112"/>
      <c r="P164" s="121"/>
      <c r="Q164" s="122">
        <v>10</v>
      </c>
      <c r="R164" s="122">
        <v>300</v>
      </c>
      <c r="S164" s="160">
        <v>1</v>
      </c>
      <c r="U164" s="240"/>
      <c r="V164" s="241"/>
      <c r="W164" s="241"/>
      <c r="X164" s="229"/>
    </row>
    <row r="165" spans="2:19" ht="13.5" thickBot="1">
      <c r="B165" s="559" t="s">
        <v>2460</v>
      </c>
      <c r="C165" s="560"/>
      <c r="D165" s="560"/>
      <c r="E165" s="121"/>
      <c r="F165" s="122">
        <v>4</v>
      </c>
      <c r="G165" s="122">
        <v>4</v>
      </c>
      <c r="H165" s="122">
        <v>2</v>
      </c>
      <c r="I165" s="122" t="e">
        <f>ROUND(45*RaceArmorWeight,0)</f>
        <v>#N/A</v>
      </c>
      <c r="J165" s="122">
        <v>0</v>
      </c>
      <c r="K165" s="160" t="e">
        <f>ROUND(500*RaceArmorCost,0)</f>
        <v>#N/A</v>
      </c>
      <c r="M165" s="226" t="s">
        <v>941</v>
      </c>
      <c r="N165" s="112"/>
      <c r="O165" s="112"/>
      <c r="P165" s="121"/>
      <c r="Q165" s="122">
        <v>10</v>
      </c>
      <c r="R165" s="122">
        <v>400</v>
      </c>
      <c r="S165" s="160">
        <v>1</v>
      </c>
    </row>
    <row r="166" spans="2:24" ht="12.75">
      <c r="B166" s="559" t="s">
        <v>2465</v>
      </c>
      <c r="C166" s="560"/>
      <c r="D166" s="560"/>
      <c r="E166" s="121"/>
      <c r="F166" s="122">
        <v>6</v>
      </c>
      <c r="G166" s="122">
        <v>3</v>
      </c>
      <c r="H166" s="122">
        <v>2</v>
      </c>
      <c r="I166" s="122">
        <v>0</v>
      </c>
      <c r="J166" s="122">
        <v>5</v>
      </c>
      <c r="K166" s="160" t="e">
        <f>ROUND(1100*RaceArmorCost,0)</f>
        <v>#N/A</v>
      </c>
      <c r="M166" s="242" t="s">
        <v>968</v>
      </c>
      <c r="N166" s="112"/>
      <c r="O166" s="112"/>
      <c r="P166" s="121"/>
      <c r="Q166" s="122">
        <v>1</v>
      </c>
      <c r="R166" s="128">
        <v>325</v>
      </c>
      <c r="S166" s="223">
        <v>1</v>
      </c>
      <c r="U166" s="421" t="s">
        <v>2532</v>
      </c>
      <c r="V166" s="157"/>
      <c r="W166" s="157"/>
      <c r="X166" s="233"/>
    </row>
    <row r="167" spans="2:24" ht="12.75">
      <c r="B167" s="559" t="s">
        <v>2468</v>
      </c>
      <c r="C167" s="560"/>
      <c r="D167" s="560"/>
      <c r="E167" s="121"/>
      <c r="F167" s="122">
        <v>9</v>
      </c>
      <c r="G167" s="122">
        <v>0</v>
      </c>
      <c r="H167" s="122">
        <v>4</v>
      </c>
      <c r="I167" s="122" t="e">
        <f>ROUND(60*RaceArmorWeight,0)</f>
        <v>#N/A</v>
      </c>
      <c r="J167" s="122">
        <v>0</v>
      </c>
      <c r="K167" s="160" t="e">
        <f>ROUND(3000*RaceArmorCost,0)</f>
        <v>#N/A</v>
      </c>
      <c r="M167" s="242" t="s">
        <v>969</v>
      </c>
      <c r="N167" s="112"/>
      <c r="O167" s="112"/>
      <c r="P167" s="121"/>
      <c r="Q167" s="122">
        <v>10</v>
      </c>
      <c r="R167" s="128">
        <v>200</v>
      </c>
      <c r="S167" s="223">
        <v>1</v>
      </c>
      <c r="U167" s="257" t="s">
        <v>2534</v>
      </c>
      <c r="V167" s="121"/>
      <c r="W167" s="112"/>
      <c r="X167" s="158"/>
    </row>
    <row r="168" spans="2:24" ht="12.75">
      <c r="B168" s="559" t="s">
        <v>2459</v>
      </c>
      <c r="C168" s="560"/>
      <c r="D168" s="560"/>
      <c r="E168" s="121"/>
      <c r="F168" s="122">
        <v>7</v>
      </c>
      <c r="G168" s="122">
        <v>7</v>
      </c>
      <c r="H168" s="122">
        <v>5</v>
      </c>
      <c r="I168" s="122" t="e">
        <f>ROUND(90*RaceArmorWeight,0)</f>
        <v>#N/A</v>
      </c>
      <c r="J168" s="122">
        <v>0</v>
      </c>
      <c r="K168" s="160" t="e">
        <f>ROUND(12000*RaceArmorCost,0)</f>
        <v>#N/A</v>
      </c>
      <c r="M168" s="226" t="s">
        <v>970</v>
      </c>
      <c r="N168" s="112"/>
      <c r="O168" s="112"/>
      <c r="P168" s="121"/>
      <c r="Q168" s="122">
        <v>1</v>
      </c>
      <c r="R168" s="122">
        <v>450</v>
      </c>
      <c r="S168" s="160">
        <v>1</v>
      </c>
      <c r="U168" s="257" t="s">
        <v>2533</v>
      </c>
      <c r="V168" s="121"/>
      <c r="W168" s="112"/>
      <c r="X168" s="158"/>
    </row>
    <row r="169" spans="2:24" ht="12.75">
      <c r="B169" s="559" t="s">
        <v>2471</v>
      </c>
      <c r="C169" s="560"/>
      <c r="D169" s="560"/>
      <c r="E169" s="121"/>
      <c r="F169" s="122">
        <v>1</v>
      </c>
      <c r="G169" s="122">
        <v>0</v>
      </c>
      <c r="H169" s="122">
        <v>0</v>
      </c>
      <c r="I169" s="122" t="e">
        <f>ROUND(5*RaceArmorWeight,0)</f>
        <v>#N/A</v>
      </c>
      <c r="J169" s="122">
        <v>0</v>
      </c>
      <c r="K169" s="160" t="e">
        <f>ROUND(5*RaceArmorCost,0)</f>
        <v>#N/A</v>
      </c>
      <c r="M169" s="226" t="s">
        <v>932</v>
      </c>
      <c r="N169" s="112"/>
      <c r="O169" s="112"/>
      <c r="P169" s="121"/>
      <c r="Q169" s="122">
        <v>10</v>
      </c>
      <c r="R169" s="122">
        <v>550</v>
      </c>
      <c r="S169" s="160">
        <v>1</v>
      </c>
      <c r="U169" s="257" t="s">
        <v>745</v>
      </c>
      <c r="V169" s="121"/>
      <c r="W169" s="112"/>
      <c r="X169" s="158"/>
    </row>
    <row r="170" spans="2:24" ht="12.75">
      <c r="B170" s="559" t="s">
        <v>2473</v>
      </c>
      <c r="C170" s="560"/>
      <c r="D170" s="560"/>
      <c r="E170" s="121"/>
      <c r="F170" s="122">
        <v>1</v>
      </c>
      <c r="G170" s="122">
        <v>2</v>
      </c>
      <c r="H170" s="122">
        <v>1</v>
      </c>
      <c r="I170" s="122" t="e">
        <f>ROUND(5*RaceArmorWeight,0)</f>
        <v>#N/A</v>
      </c>
      <c r="J170" s="122">
        <v>0</v>
      </c>
      <c r="K170" s="160" t="e">
        <f>ROUND(22*RaceArmorCost,0)</f>
        <v>#N/A</v>
      </c>
      <c r="M170" s="226" t="s">
        <v>933</v>
      </c>
      <c r="N170" s="112"/>
      <c r="O170" s="112"/>
      <c r="P170" s="121"/>
      <c r="Q170" s="122">
        <v>10</v>
      </c>
      <c r="R170" s="122">
        <v>250</v>
      </c>
      <c r="S170" s="160">
        <v>1</v>
      </c>
      <c r="U170" s="257" t="s">
        <v>1187</v>
      </c>
      <c r="V170" s="546"/>
      <c r="W170" s="546"/>
      <c r="X170" s="569"/>
    </row>
    <row r="171" spans="2:24" ht="12.75">
      <c r="B171" s="559" t="s">
        <v>2474</v>
      </c>
      <c r="C171" s="560"/>
      <c r="D171" s="560"/>
      <c r="E171" s="121"/>
      <c r="F171" s="122">
        <v>3</v>
      </c>
      <c r="G171" s="122">
        <v>0</v>
      </c>
      <c r="H171" s="122">
        <v>1</v>
      </c>
      <c r="I171" s="122" t="e">
        <f>ROUND(10*RaceArmorWeight,0)</f>
        <v>#N/A</v>
      </c>
      <c r="J171" s="122">
        <v>0</v>
      </c>
      <c r="K171" s="160" t="e">
        <f>ROUND(15*RaceArmorCost,0)</f>
        <v>#N/A</v>
      </c>
      <c r="M171" s="226" t="s">
        <v>934</v>
      </c>
      <c r="N171" s="112"/>
      <c r="O171" s="112"/>
      <c r="P171" s="121"/>
      <c r="Q171" s="122">
        <v>10</v>
      </c>
      <c r="R171" s="122">
        <v>450</v>
      </c>
      <c r="S171" s="160">
        <v>1</v>
      </c>
      <c r="U171" s="257"/>
      <c r="V171" s="546"/>
      <c r="W171" s="546"/>
      <c r="X171" s="569"/>
    </row>
    <row r="172" spans="2:24" ht="13.5" thickBot="1">
      <c r="B172" s="559" t="s">
        <v>2475</v>
      </c>
      <c r="C172" s="560"/>
      <c r="D172" s="560"/>
      <c r="E172" s="121"/>
      <c r="F172" s="122">
        <v>3</v>
      </c>
      <c r="G172" s="122">
        <v>0</v>
      </c>
      <c r="H172" s="122">
        <v>1</v>
      </c>
      <c r="I172" s="122" t="e">
        <f>ROUND(8*RaceArmorWeight,0)</f>
        <v>#N/A</v>
      </c>
      <c r="J172" s="122">
        <v>0</v>
      </c>
      <c r="K172" s="160" t="e">
        <f>ROUND(20*RaceArmorCost,0)</f>
        <v>#N/A</v>
      </c>
      <c r="M172" s="226" t="s">
        <v>1770</v>
      </c>
      <c r="N172" s="112"/>
      <c r="O172" s="112"/>
      <c r="P172" s="121"/>
      <c r="Q172" s="122">
        <v>2</v>
      </c>
      <c r="R172" s="122">
        <v>200</v>
      </c>
      <c r="S172" s="160">
        <v>1</v>
      </c>
      <c r="U172" s="263"/>
      <c r="V172" s="548"/>
      <c r="W172" s="548"/>
      <c r="X172" s="531"/>
    </row>
    <row r="173" spans="2:24" ht="12.75">
      <c r="B173" s="559" t="s">
        <v>2472</v>
      </c>
      <c r="C173" s="560"/>
      <c r="D173" s="560"/>
      <c r="E173" s="121"/>
      <c r="F173" s="122">
        <v>3</v>
      </c>
      <c r="G173" s="122">
        <v>3</v>
      </c>
      <c r="H173" s="122">
        <v>2</v>
      </c>
      <c r="I173" s="122" t="e">
        <f>ROUND(15*RaceArmorWeight,0)</f>
        <v>#N/A</v>
      </c>
      <c r="J173" s="122">
        <v>0</v>
      </c>
      <c r="K173" s="160" t="e">
        <f>ROUND(150*RaceArmorCost,0)</f>
        <v>#N/A</v>
      </c>
      <c r="M173" s="226" t="s">
        <v>935</v>
      </c>
      <c r="N173" s="112"/>
      <c r="O173" s="112"/>
      <c r="P173" s="121"/>
      <c r="Q173" s="122">
        <v>10</v>
      </c>
      <c r="R173" s="122">
        <v>600</v>
      </c>
      <c r="S173" s="160">
        <v>1</v>
      </c>
      <c r="U173" s="421" t="s">
        <v>2434</v>
      </c>
      <c r="V173" s="422"/>
      <c r="W173" s="422"/>
      <c r="X173" s="420"/>
    </row>
    <row r="174" spans="2:24" ht="12.75">
      <c r="B174" s="559" t="s">
        <v>2470</v>
      </c>
      <c r="C174" s="560"/>
      <c r="D174" s="560"/>
      <c r="E174" s="121"/>
      <c r="F174" s="122">
        <v>5</v>
      </c>
      <c r="G174" s="122">
        <v>0</v>
      </c>
      <c r="H174" s="122">
        <v>2</v>
      </c>
      <c r="I174" s="122" t="e">
        <f>ROUND(15*RaceArmorWeight,0)</f>
        <v>#N/A</v>
      </c>
      <c r="J174" s="122">
        <v>0</v>
      </c>
      <c r="K174" s="160" t="e">
        <f>ROUND(50*RaceArmorCost,0)</f>
        <v>#N/A</v>
      </c>
      <c r="M174" s="226" t="s">
        <v>936</v>
      </c>
      <c r="N174" s="112"/>
      <c r="O174" s="112"/>
      <c r="P174" s="121"/>
      <c r="Q174" s="122">
        <v>10</v>
      </c>
      <c r="R174" s="122">
        <v>300</v>
      </c>
      <c r="S174" s="160">
        <v>1</v>
      </c>
      <c r="U174" s="545"/>
      <c r="V174" s="546"/>
      <c r="W174" s="546"/>
      <c r="X174" s="569"/>
    </row>
    <row r="175" spans="2:24" ht="12.75">
      <c r="B175" s="545"/>
      <c r="C175" s="546"/>
      <c r="D175" s="546"/>
      <c r="E175" s="121"/>
      <c r="F175" s="121"/>
      <c r="G175" s="121"/>
      <c r="H175" s="121"/>
      <c r="I175" s="121"/>
      <c r="J175" s="121"/>
      <c r="K175" s="228"/>
      <c r="M175" s="226" t="s">
        <v>2641</v>
      </c>
      <c r="N175" s="112"/>
      <c r="O175" s="112"/>
      <c r="P175" s="121"/>
      <c r="Q175" s="122">
        <v>10</v>
      </c>
      <c r="R175" s="122">
        <v>200</v>
      </c>
      <c r="S175" s="160">
        <v>1</v>
      </c>
      <c r="U175" s="545"/>
      <c r="V175" s="546"/>
      <c r="W175" s="546"/>
      <c r="X175" s="569"/>
    </row>
    <row r="176" spans="2:24" ht="12.75">
      <c r="B176" s="545"/>
      <c r="C176" s="546"/>
      <c r="D176" s="546"/>
      <c r="E176" s="121"/>
      <c r="F176" s="121"/>
      <c r="G176" s="121"/>
      <c r="H176" s="121"/>
      <c r="I176" s="121"/>
      <c r="J176" s="121"/>
      <c r="K176" s="228"/>
      <c r="M176" s="243"/>
      <c r="N176" s="245"/>
      <c r="O176" s="245"/>
      <c r="P176" s="121"/>
      <c r="Q176" s="121"/>
      <c r="R176" s="121"/>
      <c r="S176" s="228"/>
      <c r="U176" s="545"/>
      <c r="V176" s="546"/>
      <c r="W176" s="546"/>
      <c r="X176" s="569"/>
    </row>
    <row r="177" spans="2:24" ht="12.75">
      <c r="B177" s="545"/>
      <c r="C177" s="546"/>
      <c r="D177" s="546"/>
      <c r="E177" s="121"/>
      <c r="F177" s="121"/>
      <c r="G177" s="121"/>
      <c r="H177" s="121"/>
      <c r="I177" s="121"/>
      <c r="J177" s="121"/>
      <c r="K177" s="228"/>
      <c r="M177" s="243"/>
      <c r="N177" s="245"/>
      <c r="O177" s="245"/>
      <c r="P177" s="121"/>
      <c r="Q177" s="121"/>
      <c r="R177" s="121"/>
      <c r="S177" s="228"/>
      <c r="U177" s="545"/>
      <c r="V177" s="546"/>
      <c r="W177" s="546"/>
      <c r="X177" s="569"/>
    </row>
    <row r="178" spans="2:24" ht="13.5" thickBot="1">
      <c r="B178" s="547"/>
      <c r="C178" s="548"/>
      <c r="D178" s="548"/>
      <c r="E178" s="225"/>
      <c r="F178" s="225"/>
      <c r="G178" s="225"/>
      <c r="H178" s="225"/>
      <c r="I178" s="225"/>
      <c r="J178" s="225"/>
      <c r="K178" s="229"/>
      <c r="M178" s="240"/>
      <c r="N178" s="241"/>
      <c r="O178" s="241"/>
      <c r="P178" s="225"/>
      <c r="Q178" s="225"/>
      <c r="R178" s="225"/>
      <c r="S178" s="229"/>
      <c r="U178" s="547"/>
      <c r="V178" s="548"/>
      <c r="W178" s="548"/>
      <c r="X178" s="531"/>
    </row>
    <row r="180" ht="13.5" thickBot="1"/>
    <row r="181" spans="2:24" ht="12.75">
      <c r="B181" s="421" t="s">
        <v>1771</v>
      </c>
      <c r="C181" s="157"/>
      <c r="D181" s="157"/>
      <c r="E181" s="157" t="s">
        <v>2376</v>
      </c>
      <c r="F181" s="281" t="s">
        <v>2385</v>
      </c>
      <c r="H181" s="421" t="s">
        <v>1771</v>
      </c>
      <c r="I181" s="157"/>
      <c r="J181" s="157"/>
      <c r="K181" s="157" t="s">
        <v>2376</v>
      </c>
      <c r="L181" s="281" t="s">
        <v>2385</v>
      </c>
      <c r="N181" s="421" t="s">
        <v>1771</v>
      </c>
      <c r="O181" s="157"/>
      <c r="P181" s="157"/>
      <c r="Q181" s="157" t="s">
        <v>2376</v>
      </c>
      <c r="R181" s="281" t="s">
        <v>2385</v>
      </c>
      <c r="T181" s="421" t="s">
        <v>1771</v>
      </c>
      <c r="U181" s="157"/>
      <c r="V181" s="157"/>
      <c r="W181" s="157" t="s">
        <v>2376</v>
      </c>
      <c r="X181" s="281" t="s">
        <v>2385</v>
      </c>
    </row>
    <row r="182" spans="1:24" ht="12.75">
      <c r="A182" s="214"/>
      <c r="B182" s="242" t="s">
        <v>1772</v>
      </c>
      <c r="C182" s="112"/>
      <c r="D182" s="112"/>
      <c r="E182" s="121"/>
      <c r="F182" s="223">
        <v>1.2</v>
      </c>
      <c r="H182" s="242" t="s">
        <v>1788</v>
      </c>
      <c r="I182" s="112"/>
      <c r="J182" s="112"/>
      <c r="K182" s="121"/>
      <c r="L182" s="223">
        <v>120</v>
      </c>
      <c r="N182" s="242" t="s">
        <v>1829</v>
      </c>
      <c r="O182" s="112"/>
      <c r="P182" s="112"/>
      <c r="Q182" s="121"/>
      <c r="R182" s="223">
        <v>2</v>
      </c>
      <c r="T182" s="242" t="s">
        <v>1842</v>
      </c>
      <c r="U182" s="112"/>
      <c r="V182" s="112"/>
      <c r="W182" s="121"/>
      <c r="X182" s="223">
        <v>80</v>
      </c>
    </row>
    <row r="183" spans="2:24" ht="12.75">
      <c r="B183" s="242" t="s">
        <v>1775</v>
      </c>
      <c r="C183" s="112"/>
      <c r="D183" s="112"/>
      <c r="E183" s="121"/>
      <c r="F183" s="223">
        <v>3</v>
      </c>
      <c r="H183" s="242" t="s">
        <v>1789</v>
      </c>
      <c r="I183" s="112"/>
      <c r="J183" s="112"/>
      <c r="K183" s="121"/>
      <c r="L183" s="223">
        <v>350</v>
      </c>
      <c r="N183" s="242" t="s">
        <v>1830</v>
      </c>
      <c r="O183" s="112"/>
      <c r="P183" s="112"/>
      <c r="Q183" s="121"/>
      <c r="R183" s="223">
        <v>140</v>
      </c>
      <c r="T183" s="242" t="s">
        <v>1843</v>
      </c>
      <c r="U183" s="112"/>
      <c r="V183" s="112"/>
      <c r="W183" s="121"/>
      <c r="X183" s="223">
        <v>2</v>
      </c>
    </row>
    <row r="184" spans="2:24" ht="12.75">
      <c r="B184" s="242" t="s">
        <v>1773</v>
      </c>
      <c r="C184" s="112"/>
      <c r="D184" s="112"/>
      <c r="E184" s="121"/>
      <c r="F184" s="223">
        <v>8</v>
      </c>
      <c r="H184" s="242" t="s">
        <v>1790</v>
      </c>
      <c r="I184" s="112"/>
      <c r="J184" s="112"/>
      <c r="K184" s="121"/>
      <c r="L184" s="223">
        <v>5</v>
      </c>
      <c r="N184" s="242" t="s">
        <v>1831</v>
      </c>
      <c r="O184" s="112"/>
      <c r="P184" s="112"/>
      <c r="Q184" s="121"/>
      <c r="R184" s="223">
        <v>0.4</v>
      </c>
      <c r="T184" s="242" t="s">
        <v>1844</v>
      </c>
      <c r="U184" s="112"/>
      <c r="V184" s="112"/>
      <c r="W184" s="121"/>
      <c r="X184" s="223">
        <v>0.2</v>
      </c>
    </row>
    <row r="185" spans="2:24" ht="12.75">
      <c r="B185" s="242" t="s">
        <v>1776</v>
      </c>
      <c r="C185" s="112"/>
      <c r="D185" s="112"/>
      <c r="E185" s="121"/>
      <c r="F185" s="223">
        <v>9</v>
      </c>
      <c r="H185" s="242" t="s">
        <v>1791</v>
      </c>
      <c r="I185" s="112"/>
      <c r="J185" s="112"/>
      <c r="K185" s="121"/>
      <c r="L185" s="223">
        <v>14</v>
      </c>
      <c r="N185" s="242" t="s">
        <v>1832</v>
      </c>
      <c r="O185" s="112"/>
      <c r="P185" s="112"/>
      <c r="Q185" s="121"/>
      <c r="R185" s="223">
        <v>1.2</v>
      </c>
      <c r="T185" s="242" t="s">
        <v>1845</v>
      </c>
      <c r="U185" s="112"/>
      <c r="V185" s="112"/>
      <c r="W185" s="121"/>
      <c r="X185" s="223">
        <v>1</v>
      </c>
    </row>
    <row r="186" spans="2:24" ht="12.75">
      <c r="B186" s="242" t="s">
        <v>1774</v>
      </c>
      <c r="C186" s="112"/>
      <c r="D186" s="112"/>
      <c r="E186" s="121"/>
      <c r="F186" s="223">
        <v>40</v>
      </c>
      <c r="H186" s="242" t="s">
        <v>1792</v>
      </c>
      <c r="I186" s="112"/>
      <c r="J186" s="112"/>
      <c r="K186" s="121"/>
      <c r="L186" s="223">
        <v>50</v>
      </c>
      <c r="N186" s="242" t="s">
        <v>1833</v>
      </c>
      <c r="O186" s="112"/>
      <c r="P186" s="112"/>
      <c r="Q186" s="121"/>
      <c r="R186" s="223">
        <v>35</v>
      </c>
      <c r="T186" s="242" t="s">
        <v>1846</v>
      </c>
      <c r="U186" s="112"/>
      <c r="V186" s="112"/>
      <c r="W186" s="121"/>
      <c r="X186" s="223">
        <v>45</v>
      </c>
    </row>
    <row r="187" spans="2:24" ht="12.75">
      <c r="B187" s="242" t="s">
        <v>1777</v>
      </c>
      <c r="C187" s="112"/>
      <c r="D187" s="112"/>
      <c r="E187" s="121"/>
      <c r="F187" s="223">
        <v>50</v>
      </c>
      <c r="H187" s="242" t="s">
        <v>1793</v>
      </c>
      <c r="I187" s="112"/>
      <c r="J187" s="112"/>
      <c r="K187" s="121"/>
      <c r="L187" s="223">
        <v>120</v>
      </c>
      <c r="N187" s="242" t="s">
        <v>836</v>
      </c>
      <c r="O187" s="112"/>
      <c r="P187" s="112"/>
      <c r="Q187" s="121"/>
      <c r="R187" s="223">
        <v>9</v>
      </c>
      <c r="T187" s="242" t="s">
        <v>1847</v>
      </c>
      <c r="U187" s="112"/>
      <c r="V187" s="112"/>
      <c r="W187" s="121"/>
      <c r="X187" s="223">
        <v>2</v>
      </c>
    </row>
    <row r="188" spans="2:24" ht="12.75">
      <c r="B188" s="242" t="s">
        <v>1778</v>
      </c>
      <c r="C188" s="112"/>
      <c r="D188" s="112"/>
      <c r="E188" s="121"/>
      <c r="F188" s="223">
        <v>0.5</v>
      </c>
      <c r="H188" s="242" t="s">
        <v>833</v>
      </c>
      <c r="I188" s="112"/>
      <c r="J188" s="112"/>
      <c r="K188" s="121"/>
      <c r="L188" s="223">
        <v>275</v>
      </c>
      <c r="N188" s="242" t="s">
        <v>835</v>
      </c>
      <c r="O188" s="112"/>
      <c r="P188" s="112"/>
      <c r="Q188" s="121"/>
      <c r="R188" s="223">
        <v>18</v>
      </c>
      <c r="T188" s="242" t="s">
        <v>1848</v>
      </c>
      <c r="U188" s="112"/>
      <c r="V188" s="112"/>
      <c r="W188" s="121"/>
      <c r="X188" s="223">
        <v>40</v>
      </c>
    </row>
    <row r="189" spans="2:24" ht="12.75">
      <c r="B189" s="242" t="s">
        <v>1779</v>
      </c>
      <c r="C189" s="112"/>
      <c r="D189" s="112"/>
      <c r="E189" s="121"/>
      <c r="F189" s="223">
        <v>1</v>
      </c>
      <c r="H189" s="242" t="s">
        <v>1822</v>
      </c>
      <c r="I189" s="112"/>
      <c r="J189" s="112"/>
      <c r="K189" s="121"/>
      <c r="L189" s="223">
        <v>380</v>
      </c>
      <c r="N189" s="242" t="s">
        <v>1834</v>
      </c>
      <c r="O189" s="112"/>
      <c r="P189" s="112"/>
      <c r="Q189" s="121"/>
      <c r="R189" s="223">
        <v>3</v>
      </c>
      <c r="T189" s="242" t="s">
        <v>1849</v>
      </c>
      <c r="U189" s="112"/>
      <c r="V189" s="112"/>
      <c r="W189" s="121"/>
      <c r="X189" s="223">
        <v>5</v>
      </c>
    </row>
    <row r="190" spans="2:24" ht="12.75">
      <c r="B190" s="242" t="s">
        <v>1780</v>
      </c>
      <c r="C190" s="112"/>
      <c r="D190" s="112"/>
      <c r="E190" s="121"/>
      <c r="F190" s="223">
        <v>4</v>
      </c>
      <c r="H190" s="242" t="s">
        <v>1823</v>
      </c>
      <c r="I190" s="112"/>
      <c r="J190" s="112"/>
      <c r="K190" s="121"/>
      <c r="L190" s="223">
        <v>2</v>
      </c>
      <c r="N190" s="242" t="s">
        <v>1835</v>
      </c>
      <c r="O190" s="112"/>
      <c r="P190" s="112"/>
      <c r="Q190" s="121"/>
      <c r="R190" s="223">
        <v>0.5</v>
      </c>
      <c r="T190" s="242" t="s">
        <v>1850</v>
      </c>
      <c r="U190" s="112"/>
      <c r="V190" s="112"/>
      <c r="W190" s="121"/>
      <c r="X190" s="223">
        <v>5</v>
      </c>
    </row>
    <row r="191" spans="2:24" ht="12.75">
      <c r="B191" s="242" t="s">
        <v>1781</v>
      </c>
      <c r="C191" s="112"/>
      <c r="D191" s="112"/>
      <c r="E191" s="121"/>
      <c r="F191" s="223">
        <v>8</v>
      </c>
      <c r="H191" s="242" t="s">
        <v>1824</v>
      </c>
      <c r="I191" s="112"/>
      <c r="J191" s="112"/>
      <c r="K191" s="121"/>
      <c r="L191" s="223">
        <v>7</v>
      </c>
      <c r="N191" s="242" t="s">
        <v>1836</v>
      </c>
      <c r="O191" s="112"/>
      <c r="P191" s="112"/>
      <c r="Q191" s="121"/>
      <c r="R191" s="223">
        <v>20</v>
      </c>
      <c r="T191" s="242" t="s">
        <v>1851</v>
      </c>
      <c r="U191" s="112"/>
      <c r="V191" s="112"/>
      <c r="W191" s="121"/>
      <c r="X191" s="223">
        <v>0.6</v>
      </c>
    </row>
    <row r="192" spans="2:24" ht="12.75">
      <c r="B192" s="242" t="s">
        <v>1782</v>
      </c>
      <c r="C192" s="112"/>
      <c r="D192" s="112"/>
      <c r="E192" s="121"/>
      <c r="F192" s="223">
        <v>0.4</v>
      </c>
      <c r="H192" s="242" t="s">
        <v>1825</v>
      </c>
      <c r="I192" s="112"/>
      <c r="J192" s="112"/>
      <c r="K192" s="121"/>
      <c r="L192" s="223">
        <v>22</v>
      </c>
      <c r="N192" s="415" t="s">
        <v>1837</v>
      </c>
      <c r="O192" s="114"/>
      <c r="P192" s="114"/>
      <c r="Q192" s="323"/>
      <c r="R192" s="416">
        <v>12</v>
      </c>
      <c r="T192" s="242" t="s">
        <v>1852</v>
      </c>
      <c r="U192" s="112"/>
      <c r="V192" s="112"/>
      <c r="W192" s="121"/>
      <c r="X192" s="223">
        <v>0.4</v>
      </c>
    </row>
    <row r="193" spans="2:24" ht="12.75">
      <c r="B193" s="242" t="s">
        <v>1783</v>
      </c>
      <c r="C193" s="112"/>
      <c r="D193" s="112"/>
      <c r="E193" s="121"/>
      <c r="F193" s="223">
        <v>1</v>
      </c>
      <c r="H193" s="242" t="s">
        <v>1826</v>
      </c>
      <c r="I193" s="112"/>
      <c r="J193" s="112"/>
      <c r="K193" s="121"/>
      <c r="L193" s="223">
        <v>100</v>
      </c>
      <c r="N193" s="242" t="s">
        <v>1838</v>
      </c>
      <c r="O193" s="112"/>
      <c r="P193" s="112"/>
      <c r="Q193" s="121"/>
      <c r="R193" s="223">
        <v>90</v>
      </c>
      <c r="T193" s="222"/>
      <c r="U193" s="245"/>
      <c r="V193" s="245"/>
      <c r="W193" s="121"/>
      <c r="X193" s="286"/>
    </row>
    <row r="194" spans="2:24" ht="12.75">
      <c r="B194" s="242" t="s">
        <v>1784</v>
      </c>
      <c r="C194" s="112"/>
      <c r="D194" s="112"/>
      <c r="E194" s="121"/>
      <c r="F194" s="223">
        <v>7</v>
      </c>
      <c r="H194" s="242" t="s">
        <v>1827</v>
      </c>
      <c r="I194" s="112"/>
      <c r="J194" s="112"/>
      <c r="K194" s="121"/>
      <c r="L194" s="223">
        <v>250</v>
      </c>
      <c r="N194" s="242" t="s">
        <v>1839</v>
      </c>
      <c r="O194" s="112"/>
      <c r="P194" s="112"/>
      <c r="Q194" s="121"/>
      <c r="R194" s="223">
        <v>170</v>
      </c>
      <c r="T194" s="222"/>
      <c r="U194" s="245"/>
      <c r="V194" s="245"/>
      <c r="W194" s="121"/>
      <c r="X194" s="286"/>
    </row>
    <row r="195" spans="2:24" ht="12.75">
      <c r="B195" s="242" t="s">
        <v>1785</v>
      </c>
      <c r="C195" s="112"/>
      <c r="D195" s="112"/>
      <c r="E195" s="121"/>
      <c r="F195" s="223">
        <v>2</v>
      </c>
      <c r="H195" s="242" t="s">
        <v>1828</v>
      </c>
      <c r="I195" s="112"/>
      <c r="J195" s="112"/>
      <c r="K195" s="121"/>
      <c r="L195" s="223">
        <v>560</v>
      </c>
      <c r="N195" s="242" t="s">
        <v>79</v>
      </c>
      <c r="O195" s="112"/>
      <c r="P195" s="112"/>
      <c r="Q195" s="121"/>
      <c r="R195" s="223">
        <v>1</v>
      </c>
      <c r="T195" s="222"/>
      <c r="U195" s="245"/>
      <c r="V195" s="245"/>
      <c r="W195" s="121"/>
      <c r="X195" s="286"/>
    </row>
    <row r="196" spans="2:24" ht="12.75">
      <c r="B196" s="242" t="s">
        <v>1786</v>
      </c>
      <c r="C196" s="112"/>
      <c r="D196" s="112"/>
      <c r="E196" s="121"/>
      <c r="F196" s="223">
        <v>12</v>
      </c>
      <c r="H196" s="242" t="s">
        <v>929</v>
      </c>
      <c r="I196" s="112"/>
      <c r="J196" s="112"/>
      <c r="K196" s="121"/>
      <c r="L196" s="223">
        <v>5</v>
      </c>
      <c r="N196" s="242" t="s">
        <v>1840</v>
      </c>
      <c r="O196" s="112"/>
      <c r="P196" s="112"/>
      <c r="Q196" s="121"/>
      <c r="R196" s="223">
        <v>1.5</v>
      </c>
      <c r="T196" s="222"/>
      <c r="U196" s="245"/>
      <c r="V196" s="245"/>
      <c r="W196" s="121"/>
      <c r="X196" s="286"/>
    </row>
    <row r="197" spans="2:24" ht="13.5" thickBot="1">
      <c r="B197" s="282" t="s">
        <v>1787</v>
      </c>
      <c r="C197" s="162"/>
      <c r="D197" s="162"/>
      <c r="E197" s="225"/>
      <c r="F197" s="185">
        <v>15</v>
      </c>
      <c r="H197" s="282" t="s">
        <v>930</v>
      </c>
      <c r="I197" s="162"/>
      <c r="J197" s="162"/>
      <c r="K197" s="225"/>
      <c r="L197" s="185">
        <v>8</v>
      </c>
      <c r="N197" s="282" t="s">
        <v>1841</v>
      </c>
      <c r="O197" s="162"/>
      <c r="P197" s="162"/>
      <c r="Q197" s="225"/>
      <c r="R197" s="185">
        <v>15</v>
      </c>
      <c r="T197" s="238"/>
      <c r="U197" s="241"/>
      <c r="V197" s="241"/>
      <c r="W197" s="225"/>
      <c r="X197" s="287"/>
    </row>
    <row r="199" ht="13.5" thickBot="1"/>
    <row r="200" spans="2:32" ht="12.75">
      <c r="B200" s="421" t="s">
        <v>2371</v>
      </c>
      <c r="C200" s="157"/>
      <c r="D200" s="157"/>
      <c r="E200" s="157"/>
      <c r="F200" s="261" t="s">
        <v>2379</v>
      </c>
      <c r="G200" s="285" t="s">
        <v>2385</v>
      </c>
      <c r="H200" s="281" t="s">
        <v>2432</v>
      </c>
      <c r="J200" s="421" t="s">
        <v>1853</v>
      </c>
      <c r="K200" s="157"/>
      <c r="L200" s="157"/>
      <c r="M200" s="157"/>
      <c r="N200" s="261" t="s">
        <v>2379</v>
      </c>
      <c r="O200" s="285" t="s">
        <v>2385</v>
      </c>
      <c r="P200" s="281" t="s">
        <v>2432</v>
      </c>
      <c r="R200" s="421" t="s">
        <v>2378</v>
      </c>
      <c r="S200" s="157"/>
      <c r="T200" s="157"/>
      <c r="U200" s="157"/>
      <c r="V200" s="157"/>
      <c r="W200" s="285" t="s">
        <v>2385</v>
      </c>
      <c r="X200" s="281" t="s">
        <v>2432</v>
      </c>
      <c r="Z200" s="250" t="s">
        <v>1012</v>
      </c>
      <c r="AA200" s="157"/>
      <c r="AB200" s="157"/>
      <c r="AC200" s="157"/>
      <c r="AD200" s="261" t="s">
        <v>2376</v>
      </c>
      <c r="AE200" s="285" t="s">
        <v>2385</v>
      </c>
      <c r="AF200" s="281" t="s">
        <v>2432</v>
      </c>
    </row>
    <row r="201" spans="2:32" ht="12.75">
      <c r="B201" s="242" t="s">
        <v>1854</v>
      </c>
      <c r="C201" s="112"/>
      <c r="D201" s="112"/>
      <c r="E201" s="112"/>
      <c r="F201" s="121"/>
      <c r="G201" s="128">
        <v>15</v>
      </c>
      <c r="H201" s="223">
        <v>10</v>
      </c>
      <c r="J201" s="242" t="s">
        <v>988</v>
      </c>
      <c r="K201" s="112"/>
      <c r="L201" s="112"/>
      <c r="M201" s="112"/>
      <c r="N201" s="121"/>
      <c r="O201" s="128">
        <v>1</v>
      </c>
      <c r="P201" s="223">
        <v>0.8</v>
      </c>
      <c r="R201" s="242" t="s">
        <v>839</v>
      </c>
      <c r="S201" s="112"/>
      <c r="T201" s="112"/>
      <c r="U201" s="112"/>
      <c r="V201" s="121"/>
      <c r="W201" s="128">
        <v>15</v>
      </c>
      <c r="X201" s="223">
        <v>1</v>
      </c>
      <c r="Z201" s="242" t="s">
        <v>2471</v>
      </c>
      <c r="AA201" s="112"/>
      <c r="AB201" s="112"/>
      <c r="AC201" s="112"/>
      <c r="AD201" s="121"/>
      <c r="AE201" s="128">
        <v>1750</v>
      </c>
      <c r="AF201" s="223">
        <v>5</v>
      </c>
    </row>
    <row r="202" spans="2:32" ht="12.75">
      <c r="B202" s="242" t="s">
        <v>2345</v>
      </c>
      <c r="C202" s="112"/>
      <c r="D202" s="112"/>
      <c r="E202" s="112"/>
      <c r="F202" s="121"/>
      <c r="G202" s="128">
        <v>40</v>
      </c>
      <c r="H202" s="223">
        <v>25</v>
      </c>
      <c r="J202" s="242" t="s">
        <v>989</v>
      </c>
      <c r="K202" s="112"/>
      <c r="L202" s="112"/>
      <c r="M202" s="112"/>
      <c r="N202" s="121"/>
      <c r="O202" s="128">
        <v>2.5</v>
      </c>
      <c r="P202" s="223">
        <v>0.6</v>
      </c>
      <c r="R202" s="242" t="s">
        <v>842</v>
      </c>
      <c r="S202" s="112"/>
      <c r="T202" s="112"/>
      <c r="U202" s="112"/>
      <c r="V202" s="121"/>
      <c r="W202" s="128">
        <v>25</v>
      </c>
      <c r="X202" s="223">
        <v>1</v>
      </c>
      <c r="Z202" s="242" t="s">
        <v>1013</v>
      </c>
      <c r="AA202" s="112"/>
      <c r="AB202" s="112"/>
      <c r="AC202" s="112"/>
      <c r="AD202" s="121"/>
      <c r="AE202" s="128">
        <v>2300</v>
      </c>
      <c r="AF202" s="223">
        <v>15</v>
      </c>
    </row>
    <row r="203" spans="2:32" ht="12.75">
      <c r="B203" s="242" t="s">
        <v>2346</v>
      </c>
      <c r="C203" s="112"/>
      <c r="D203" s="112"/>
      <c r="E203" s="112"/>
      <c r="F203" s="121"/>
      <c r="G203" s="128">
        <v>5</v>
      </c>
      <c r="H203" s="223">
        <v>3</v>
      </c>
      <c r="J203" s="242" t="s">
        <v>990</v>
      </c>
      <c r="K203" s="112"/>
      <c r="L203" s="112"/>
      <c r="M203" s="112"/>
      <c r="N203" s="121"/>
      <c r="O203" s="128">
        <v>0.5</v>
      </c>
      <c r="P203" s="223">
        <v>2</v>
      </c>
      <c r="R203" s="242" t="s">
        <v>841</v>
      </c>
      <c r="S203" s="112"/>
      <c r="T203" s="112"/>
      <c r="U203" s="112"/>
      <c r="V203" s="121"/>
      <c r="W203" s="128">
        <v>45</v>
      </c>
      <c r="X203" s="223">
        <v>2</v>
      </c>
      <c r="Z203" s="242" t="s">
        <v>1014</v>
      </c>
      <c r="AA203" s="112"/>
      <c r="AB203" s="112"/>
      <c r="AC203" s="112"/>
      <c r="AD203" s="121"/>
      <c r="AE203" s="128">
        <v>150000</v>
      </c>
      <c r="AF203" s="223">
        <v>15</v>
      </c>
    </row>
    <row r="204" spans="2:32" ht="12.75">
      <c r="B204" s="242" t="s">
        <v>2347</v>
      </c>
      <c r="C204" s="112"/>
      <c r="D204" s="112"/>
      <c r="E204" s="112"/>
      <c r="F204" s="121"/>
      <c r="G204" s="128">
        <v>5</v>
      </c>
      <c r="H204" s="223">
        <v>2</v>
      </c>
      <c r="J204" s="242" t="s">
        <v>991</v>
      </c>
      <c r="K204" s="112"/>
      <c r="L204" s="112"/>
      <c r="M204" s="112"/>
      <c r="N204" s="121"/>
      <c r="O204" s="128">
        <v>5</v>
      </c>
      <c r="P204" s="223">
        <v>2</v>
      </c>
      <c r="R204" s="242" t="s">
        <v>840</v>
      </c>
      <c r="S204" s="112"/>
      <c r="T204" s="112"/>
      <c r="U204" s="112"/>
      <c r="V204" s="121"/>
      <c r="W204" s="128">
        <v>30</v>
      </c>
      <c r="X204" s="223">
        <v>1</v>
      </c>
      <c r="Z204" s="222"/>
      <c r="AA204" s="245"/>
      <c r="AB204" s="245"/>
      <c r="AC204" s="245"/>
      <c r="AD204" s="121"/>
      <c r="AE204" s="126"/>
      <c r="AF204" s="286"/>
    </row>
    <row r="205" spans="2:32" ht="12.75">
      <c r="B205" s="242" t="s">
        <v>992</v>
      </c>
      <c r="C205" s="112"/>
      <c r="D205" s="112"/>
      <c r="E205" s="112"/>
      <c r="F205" s="121"/>
      <c r="G205" s="128">
        <v>0.8</v>
      </c>
      <c r="H205" s="223">
        <v>1</v>
      </c>
      <c r="J205" s="242" t="s">
        <v>2367</v>
      </c>
      <c r="K205" s="112"/>
      <c r="L205" s="112"/>
      <c r="M205" s="112"/>
      <c r="N205" s="121"/>
      <c r="O205" s="128">
        <v>2</v>
      </c>
      <c r="P205" s="223">
        <v>2</v>
      </c>
      <c r="R205" s="242" t="s">
        <v>2356</v>
      </c>
      <c r="S205" s="112"/>
      <c r="T205" s="112"/>
      <c r="U205" s="112"/>
      <c r="V205" s="121"/>
      <c r="W205" s="128">
        <v>0.2</v>
      </c>
      <c r="X205" s="223">
        <v>1</v>
      </c>
      <c r="Z205" s="222"/>
      <c r="AA205" s="245"/>
      <c r="AB205" s="245"/>
      <c r="AC205" s="245"/>
      <c r="AD205" s="121"/>
      <c r="AE205" s="126"/>
      <c r="AF205" s="286"/>
    </row>
    <row r="206" spans="2:32" ht="12.75">
      <c r="B206" s="242" t="s">
        <v>2348</v>
      </c>
      <c r="C206" s="112"/>
      <c r="D206" s="112"/>
      <c r="E206" s="112"/>
      <c r="F206" s="121"/>
      <c r="G206" s="128">
        <v>12</v>
      </c>
      <c r="H206" s="223">
        <v>3</v>
      </c>
      <c r="J206" s="242" t="s">
        <v>2368</v>
      </c>
      <c r="K206" s="112"/>
      <c r="L206" s="112"/>
      <c r="M206" s="112"/>
      <c r="N206" s="121"/>
      <c r="O206" s="128">
        <v>2</v>
      </c>
      <c r="P206" s="223">
        <v>2</v>
      </c>
      <c r="R206" s="242" t="s">
        <v>2357</v>
      </c>
      <c r="S206" s="112"/>
      <c r="T206" s="112"/>
      <c r="U206" s="112"/>
      <c r="V206" s="121"/>
      <c r="W206" s="128">
        <v>2</v>
      </c>
      <c r="X206" s="223">
        <v>1</v>
      </c>
      <c r="Z206" s="222"/>
      <c r="AA206" s="245"/>
      <c r="AB206" s="245"/>
      <c r="AC206" s="245"/>
      <c r="AD206" s="121"/>
      <c r="AE206" s="126"/>
      <c r="AF206" s="286"/>
    </row>
    <row r="207" spans="2:24" ht="13.5" thickBot="1">
      <c r="B207" s="242" t="s">
        <v>2369</v>
      </c>
      <c r="C207" s="112"/>
      <c r="D207" s="112"/>
      <c r="E207" s="112"/>
      <c r="F207" s="121"/>
      <c r="G207" s="128">
        <v>0.3</v>
      </c>
      <c r="H207" s="223">
        <v>0.5</v>
      </c>
      <c r="J207" s="288"/>
      <c r="K207" s="283"/>
      <c r="L207" s="283"/>
      <c r="M207" s="284"/>
      <c r="N207" s="284"/>
      <c r="O207" s="142"/>
      <c r="P207" s="289"/>
      <c r="R207" s="242" t="s">
        <v>2377</v>
      </c>
      <c r="S207" s="112"/>
      <c r="T207" s="112"/>
      <c r="U207" s="112"/>
      <c r="V207" s="121"/>
      <c r="W207" s="128">
        <v>7</v>
      </c>
      <c r="X207" s="223">
        <v>5</v>
      </c>
    </row>
    <row r="208" spans="2:32" ht="12.75">
      <c r="B208" s="242" t="s">
        <v>978</v>
      </c>
      <c r="C208" s="112"/>
      <c r="D208" s="112"/>
      <c r="E208" s="112"/>
      <c r="F208" s="121"/>
      <c r="G208" s="128">
        <v>10</v>
      </c>
      <c r="H208" s="223">
        <v>5</v>
      </c>
      <c r="J208" s="288"/>
      <c r="K208" s="283"/>
      <c r="L208" s="283"/>
      <c r="M208" s="284"/>
      <c r="N208" s="284"/>
      <c r="O208" s="142"/>
      <c r="P208" s="289"/>
      <c r="R208" s="242" t="s">
        <v>2358</v>
      </c>
      <c r="S208" s="112"/>
      <c r="T208" s="112"/>
      <c r="U208" s="112"/>
      <c r="V208" s="121"/>
      <c r="W208" s="128">
        <v>25</v>
      </c>
      <c r="X208" s="223">
        <v>6</v>
      </c>
      <c r="Z208" s="250" t="s">
        <v>1015</v>
      </c>
      <c r="AA208" s="157"/>
      <c r="AB208" s="157"/>
      <c r="AC208" s="157"/>
      <c r="AD208" s="261" t="s">
        <v>2379</v>
      </c>
      <c r="AE208" s="285" t="s">
        <v>2385</v>
      </c>
      <c r="AF208" s="281" t="s">
        <v>2432</v>
      </c>
    </row>
    <row r="209" spans="2:32" ht="12.75">
      <c r="B209" s="242" t="s">
        <v>979</v>
      </c>
      <c r="C209" s="112"/>
      <c r="D209" s="112"/>
      <c r="E209" s="112"/>
      <c r="F209" s="121"/>
      <c r="G209" s="128">
        <v>50</v>
      </c>
      <c r="H209" s="223">
        <v>10</v>
      </c>
      <c r="J209" s="288"/>
      <c r="K209" s="283"/>
      <c r="L209" s="283"/>
      <c r="M209" s="284"/>
      <c r="N209" s="284"/>
      <c r="O209" s="142"/>
      <c r="P209" s="289"/>
      <c r="R209" s="242" t="s">
        <v>2359</v>
      </c>
      <c r="S209" s="112"/>
      <c r="T209" s="112"/>
      <c r="U209" s="112"/>
      <c r="V209" s="121"/>
      <c r="W209" s="128">
        <v>70</v>
      </c>
      <c r="X209" s="223">
        <v>7</v>
      </c>
      <c r="Z209" s="242" t="s">
        <v>1016</v>
      </c>
      <c r="AA209" s="112"/>
      <c r="AB209" s="112"/>
      <c r="AC209" s="112"/>
      <c r="AD209" s="121"/>
      <c r="AE209" s="128">
        <v>2100</v>
      </c>
      <c r="AF209" s="223">
        <v>8</v>
      </c>
    </row>
    <row r="210" spans="2:32" ht="13.5" thickBot="1">
      <c r="B210" s="242" t="s">
        <v>2349</v>
      </c>
      <c r="C210" s="112"/>
      <c r="D210" s="112"/>
      <c r="E210" s="112"/>
      <c r="F210" s="121"/>
      <c r="G210" s="128">
        <v>0.3</v>
      </c>
      <c r="H210" s="223">
        <v>0.5</v>
      </c>
      <c r="J210" s="240"/>
      <c r="K210" s="241"/>
      <c r="L210" s="241"/>
      <c r="M210" s="224"/>
      <c r="N210" s="224"/>
      <c r="O210" s="225"/>
      <c r="P210" s="229"/>
      <c r="R210" s="243"/>
      <c r="S210" s="245"/>
      <c r="T210" s="245"/>
      <c r="U210" s="245"/>
      <c r="V210" s="121"/>
      <c r="W210" s="121"/>
      <c r="X210" s="228"/>
      <c r="Z210" s="242" t="s">
        <v>1021</v>
      </c>
      <c r="AA210" s="112"/>
      <c r="AB210" s="112"/>
      <c r="AC210" s="112"/>
      <c r="AD210" s="121"/>
      <c r="AE210" s="128">
        <v>3500</v>
      </c>
      <c r="AF210" s="223">
        <v>9</v>
      </c>
    </row>
    <row r="211" spans="2:32" ht="12.75">
      <c r="B211" s="242" t="s">
        <v>2350</v>
      </c>
      <c r="C211" s="112"/>
      <c r="D211" s="112"/>
      <c r="E211" s="112"/>
      <c r="F211" s="121"/>
      <c r="G211" s="128">
        <v>0.1</v>
      </c>
      <c r="H211" s="223">
        <v>0</v>
      </c>
      <c r="R211" s="243"/>
      <c r="S211" s="245"/>
      <c r="T211" s="245"/>
      <c r="U211" s="245"/>
      <c r="V211" s="121"/>
      <c r="W211" s="121"/>
      <c r="X211" s="228"/>
      <c r="Z211" s="242" t="s">
        <v>1022</v>
      </c>
      <c r="AA211" s="112"/>
      <c r="AB211" s="112"/>
      <c r="AC211" s="112"/>
      <c r="AD211" s="121"/>
      <c r="AE211" s="128">
        <v>4000</v>
      </c>
      <c r="AF211" s="223">
        <v>6</v>
      </c>
    </row>
    <row r="212" spans="2:32" ht="13.5" thickBot="1">
      <c r="B212" s="242" t="s">
        <v>2351</v>
      </c>
      <c r="C212" s="112"/>
      <c r="D212" s="112"/>
      <c r="E212" s="112"/>
      <c r="F212" s="121"/>
      <c r="G212" s="128">
        <v>15</v>
      </c>
      <c r="H212" s="223">
        <v>10</v>
      </c>
      <c r="R212" s="240"/>
      <c r="S212" s="241"/>
      <c r="T212" s="241"/>
      <c r="U212" s="224"/>
      <c r="V212" s="224"/>
      <c r="W212" s="225"/>
      <c r="X212" s="229"/>
      <c r="Z212" s="242" t="s">
        <v>1017</v>
      </c>
      <c r="AA212" s="112"/>
      <c r="AB212" s="112"/>
      <c r="AC212" s="112"/>
      <c r="AD212" s="121"/>
      <c r="AE212" s="128">
        <v>1900</v>
      </c>
      <c r="AF212" s="223">
        <v>4</v>
      </c>
    </row>
    <row r="213" spans="2:32" ht="12.75">
      <c r="B213" s="242" t="s">
        <v>980</v>
      </c>
      <c r="C213" s="112"/>
      <c r="D213" s="112"/>
      <c r="E213" s="112"/>
      <c r="F213" s="121"/>
      <c r="G213" s="128">
        <v>1</v>
      </c>
      <c r="H213" s="223">
        <v>1</v>
      </c>
      <c r="J213" s="421" t="s">
        <v>974</v>
      </c>
      <c r="K213" s="157"/>
      <c r="L213" s="157"/>
      <c r="M213" s="157"/>
      <c r="N213" s="261" t="s">
        <v>2379</v>
      </c>
      <c r="O213" s="285" t="s">
        <v>2385</v>
      </c>
      <c r="P213" s="281" t="s">
        <v>2432</v>
      </c>
      <c r="Z213" s="242" t="s">
        <v>1018</v>
      </c>
      <c r="AA213" s="112"/>
      <c r="AB213" s="112"/>
      <c r="AC213" s="112"/>
      <c r="AD213" s="121"/>
      <c r="AE213" s="128">
        <v>2200</v>
      </c>
      <c r="AF213" s="223">
        <v>8</v>
      </c>
    </row>
    <row r="214" spans="2:32" ht="13.5" thickBot="1">
      <c r="B214" s="242" t="s">
        <v>982</v>
      </c>
      <c r="C214" s="112"/>
      <c r="D214" s="112"/>
      <c r="E214" s="112"/>
      <c r="F214" s="121"/>
      <c r="G214" s="128">
        <v>100</v>
      </c>
      <c r="H214" s="223">
        <v>20</v>
      </c>
      <c r="J214" s="242" t="s">
        <v>850</v>
      </c>
      <c r="K214" s="112"/>
      <c r="L214" s="112"/>
      <c r="M214" s="112"/>
      <c r="N214" s="121"/>
      <c r="O214" s="128">
        <v>50</v>
      </c>
      <c r="P214" s="223">
        <v>2</v>
      </c>
      <c r="Z214" s="242" t="s">
        <v>1019</v>
      </c>
      <c r="AA214" s="112"/>
      <c r="AB214" s="112"/>
      <c r="AC214" s="112"/>
      <c r="AD214" s="121"/>
      <c r="AE214" s="128">
        <v>2100</v>
      </c>
      <c r="AF214" s="223">
        <v>5</v>
      </c>
    </row>
    <row r="215" spans="2:32" ht="12.75">
      <c r="B215" s="242" t="s">
        <v>981</v>
      </c>
      <c r="C215" s="112"/>
      <c r="D215" s="112"/>
      <c r="E215" s="112"/>
      <c r="F215" s="121"/>
      <c r="G215" s="128">
        <v>10</v>
      </c>
      <c r="H215" s="223">
        <v>5</v>
      </c>
      <c r="J215" s="242" t="s">
        <v>975</v>
      </c>
      <c r="K215" s="112"/>
      <c r="L215" s="112"/>
      <c r="M215" s="112"/>
      <c r="N215" s="121"/>
      <c r="O215" s="128">
        <v>150</v>
      </c>
      <c r="P215" s="223">
        <v>2</v>
      </c>
      <c r="R215" s="421" t="s">
        <v>2370</v>
      </c>
      <c r="S215" s="157"/>
      <c r="T215" s="157"/>
      <c r="U215" s="157"/>
      <c r="V215" s="261" t="s">
        <v>2379</v>
      </c>
      <c r="W215" s="285" t="s">
        <v>2385</v>
      </c>
      <c r="X215" s="281" t="s">
        <v>2432</v>
      </c>
      <c r="Z215" s="242" t="s">
        <v>1020</v>
      </c>
      <c r="AA215" s="112"/>
      <c r="AB215" s="112"/>
      <c r="AC215" s="112"/>
      <c r="AD215" s="121"/>
      <c r="AE215" s="128">
        <v>3100</v>
      </c>
      <c r="AF215" s="223">
        <v>3</v>
      </c>
    </row>
    <row r="216" spans="2:32" ht="12.75">
      <c r="B216" s="242" t="s">
        <v>2352</v>
      </c>
      <c r="C216" s="112"/>
      <c r="D216" s="122" t="s">
        <v>925</v>
      </c>
      <c r="E216" s="112"/>
      <c r="F216" s="121"/>
      <c r="G216" s="128">
        <v>75</v>
      </c>
      <c r="H216" s="223">
        <v>5</v>
      </c>
      <c r="J216" s="242" t="s">
        <v>848</v>
      </c>
      <c r="K216" s="112"/>
      <c r="L216" s="112"/>
      <c r="M216" s="112"/>
      <c r="N216" s="121"/>
      <c r="O216" s="128">
        <v>500</v>
      </c>
      <c r="P216" s="223">
        <v>2</v>
      </c>
      <c r="R216" s="242" t="s">
        <v>942</v>
      </c>
      <c r="S216" s="112"/>
      <c r="T216" s="112"/>
      <c r="U216" s="112"/>
      <c r="V216" s="121"/>
      <c r="W216" s="128">
        <v>340</v>
      </c>
      <c r="X216" s="223">
        <v>2</v>
      </c>
      <c r="Z216" s="242" t="s">
        <v>640</v>
      </c>
      <c r="AA216" s="112"/>
      <c r="AB216" s="112"/>
      <c r="AC216" s="112"/>
      <c r="AD216" s="121"/>
      <c r="AE216" s="128">
        <v>1000</v>
      </c>
      <c r="AF216" s="223">
        <v>2</v>
      </c>
    </row>
    <row r="217" spans="2:32" ht="12.75">
      <c r="B217" s="242" t="s">
        <v>926</v>
      </c>
      <c r="C217" s="112"/>
      <c r="D217" s="122"/>
      <c r="E217" s="112"/>
      <c r="F217" s="121"/>
      <c r="G217" s="128">
        <v>50</v>
      </c>
      <c r="H217" s="223">
        <v>0</v>
      </c>
      <c r="J217" s="242" t="s">
        <v>849</v>
      </c>
      <c r="K217" s="112"/>
      <c r="L217" s="112"/>
      <c r="M217" s="112"/>
      <c r="N217" s="121"/>
      <c r="O217" s="128">
        <v>300</v>
      </c>
      <c r="P217" s="223">
        <v>2</v>
      </c>
      <c r="R217" s="242" t="s">
        <v>832</v>
      </c>
      <c r="S217" s="112"/>
      <c r="T217" s="112"/>
      <c r="U217" s="112"/>
      <c r="V217" s="121"/>
      <c r="W217" s="128">
        <v>250</v>
      </c>
      <c r="X217" s="223">
        <v>2</v>
      </c>
      <c r="Z217" s="242" t="s">
        <v>1023</v>
      </c>
      <c r="AA217" s="112"/>
      <c r="AB217" s="112"/>
      <c r="AC217" s="112"/>
      <c r="AD217" s="121"/>
      <c r="AE217" s="128">
        <v>4500</v>
      </c>
      <c r="AF217" s="223">
        <v>15</v>
      </c>
    </row>
    <row r="218" spans="2:32" ht="12.75">
      <c r="B218" s="399" t="s">
        <v>231</v>
      </c>
      <c r="C218" s="112"/>
      <c r="D218" s="122"/>
      <c r="E218" s="112"/>
      <c r="F218" s="121"/>
      <c r="G218" s="400">
        <v>10</v>
      </c>
      <c r="H218" s="401">
        <v>1</v>
      </c>
      <c r="J218" s="242" t="s">
        <v>2373</v>
      </c>
      <c r="K218" s="112"/>
      <c r="L218" s="112"/>
      <c r="M218" s="112"/>
      <c r="N218" s="121"/>
      <c r="O218" s="128">
        <v>125</v>
      </c>
      <c r="P218" s="223">
        <v>2</v>
      </c>
      <c r="R218" s="242" t="s">
        <v>943</v>
      </c>
      <c r="S218" s="112"/>
      <c r="T218" s="112"/>
      <c r="U218" s="112"/>
      <c r="V218" s="121"/>
      <c r="W218" s="128">
        <v>25</v>
      </c>
      <c r="X218" s="223">
        <v>2</v>
      </c>
      <c r="Z218" s="242" t="s">
        <v>1024</v>
      </c>
      <c r="AA218" s="112"/>
      <c r="AB218" s="112"/>
      <c r="AC218" s="112"/>
      <c r="AD218" s="121"/>
      <c r="AE218" s="128">
        <v>1200</v>
      </c>
      <c r="AF218" s="223">
        <v>4</v>
      </c>
    </row>
    <row r="219" spans="2:32" ht="12.75">
      <c r="B219" s="242" t="s">
        <v>2353</v>
      </c>
      <c r="C219" s="112"/>
      <c r="D219" s="112"/>
      <c r="E219" s="112"/>
      <c r="F219" s="121"/>
      <c r="G219" s="128">
        <v>20</v>
      </c>
      <c r="H219" s="223">
        <v>8</v>
      </c>
      <c r="J219" s="242" t="s">
        <v>2372</v>
      </c>
      <c r="K219" s="112"/>
      <c r="L219" s="112"/>
      <c r="M219" s="112"/>
      <c r="N219" s="121"/>
      <c r="O219" s="128">
        <v>50</v>
      </c>
      <c r="P219" s="223">
        <v>1</v>
      </c>
      <c r="R219" s="242" t="s">
        <v>944</v>
      </c>
      <c r="S219" s="112"/>
      <c r="T219" s="112"/>
      <c r="U219" s="112"/>
      <c r="V219" s="121"/>
      <c r="W219" s="128">
        <v>275</v>
      </c>
      <c r="X219" s="223">
        <v>1</v>
      </c>
      <c r="Z219" s="242" t="s">
        <v>1025</v>
      </c>
      <c r="AA219" s="112"/>
      <c r="AB219" s="112"/>
      <c r="AC219" s="112"/>
      <c r="AD219" s="121"/>
      <c r="AE219" s="128">
        <v>2100</v>
      </c>
      <c r="AF219" s="223">
        <v>10</v>
      </c>
    </row>
    <row r="220" spans="2:32" ht="12.75">
      <c r="B220" s="242" t="s">
        <v>2354</v>
      </c>
      <c r="C220" s="112"/>
      <c r="D220" s="112"/>
      <c r="E220" s="112"/>
      <c r="F220" s="121"/>
      <c r="G220" s="128">
        <v>9</v>
      </c>
      <c r="H220" s="223">
        <v>6</v>
      </c>
      <c r="J220" s="242" t="s">
        <v>847</v>
      </c>
      <c r="K220" s="112"/>
      <c r="L220" s="112"/>
      <c r="M220" s="112"/>
      <c r="N220" s="121"/>
      <c r="O220" s="128">
        <v>600</v>
      </c>
      <c r="P220" s="223">
        <v>1</v>
      </c>
      <c r="R220" s="242" t="s">
        <v>945</v>
      </c>
      <c r="S220" s="112"/>
      <c r="T220" s="112"/>
      <c r="U220" s="112"/>
      <c r="V220" s="121"/>
      <c r="W220" s="128">
        <v>300</v>
      </c>
      <c r="X220" s="223">
        <v>2</v>
      </c>
      <c r="Z220" s="242" t="s">
        <v>1026</v>
      </c>
      <c r="AA220" s="112"/>
      <c r="AB220" s="112"/>
      <c r="AC220" s="112"/>
      <c r="AD220" s="121"/>
      <c r="AE220" s="128">
        <v>1300</v>
      </c>
      <c r="AF220" s="223">
        <v>3</v>
      </c>
    </row>
    <row r="221" spans="2:32" ht="12.75">
      <c r="B221" s="242" t="s">
        <v>2355</v>
      </c>
      <c r="C221" s="112"/>
      <c r="D221" s="112"/>
      <c r="E221" s="112"/>
      <c r="F221" s="121"/>
      <c r="G221" s="128">
        <v>27</v>
      </c>
      <c r="H221" s="223">
        <v>6</v>
      </c>
      <c r="J221" s="242" t="s">
        <v>976</v>
      </c>
      <c r="K221" s="112"/>
      <c r="L221" s="112"/>
      <c r="M221" s="112"/>
      <c r="N221" s="121"/>
      <c r="O221" s="128">
        <v>75</v>
      </c>
      <c r="P221" s="223">
        <v>2</v>
      </c>
      <c r="R221" s="242" t="s">
        <v>946</v>
      </c>
      <c r="S221" s="112"/>
      <c r="T221" s="112"/>
      <c r="U221" s="112"/>
      <c r="V221" s="121"/>
      <c r="W221" s="128">
        <v>100</v>
      </c>
      <c r="X221" s="223">
        <v>2</v>
      </c>
      <c r="Z221" s="242" t="s">
        <v>1027</v>
      </c>
      <c r="AA221" s="112"/>
      <c r="AB221" s="112" t="s">
        <v>1028</v>
      </c>
      <c r="AC221" s="112"/>
      <c r="AD221" s="121"/>
      <c r="AE221" s="128">
        <v>2000</v>
      </c>
      <c r="AF221" s="223">
        <v>5</v>
      </c>
    </row>
    <row r="222" spans="2:32" ht="12.75">
      <c r="B222" s="242" t="s">
        <v>984</v>
      </c>
      <c r="C222" s="112"/>
      <c r="D222" s="112"/>
      <c r="E222" s="112"/>
      <c r="F222" s="121"/>
      <c r="G222" s="128">
        <v>75</v>
      </c>
      <c r="H222" s="223">
        <v>8</v>
      </c>
      <c r="J222" s="242" t="s">
        <v>846</v>
      </c>
      <c r="K222" s="112"/>
      <c r="L222" s="112"/>
      <c r="M222" s="112"/>
      <c r="N222" s="121"/>
      <c r="O222" s="128">
        <v>75</v>
      </c>
      <c r="P222" s="223">
        <v>2</v>
      </c>
      <c r="R222" s="242" t="s">
        <v>947</v>
      </c>
      <c r="S222" s="112"/>
      <c r="T222" s="112"/>
      <c r="U222" s="112"/>
      <c r="V222" s="121"/>
      <c r="W222" s="128">
        <v>12</v>
      </c>
      <c r="X222" s="223">
        <v>0</v>
      </c>
      <c r="Z222" s="222"/>
      <c r="AA222" s="245"/>
      <c r="AB222" s="245"/>
      <c r="AC222" s="245"/>
      <c r="AD222" s="121"/>
      <c r="AE222" s="126"/>
      <c r="AF222" s="286"/>
    </row>
    <row r="223" spans="2:32" ht="12.75">
      <c r="B223" s="242" t="s">
        <v>983</v>
      </c>
      <c r="C223" s="112"/>
      <c r="D223" s="112"/>
      <c r="E223" s="112"/>
      <c r="F223" s="121"/>
      <c r="G223" s="128">
        <v>0.8</v>
      </c>
      <c r="H223" s="223">
        <v>3</v>
      </c>
      <c r="J223" s="242" t="s">
        <v>977</v>
      </c>
      <c r="K223" s="112"/>
      <c r="L223" s="112"/>
      <c r="M223" s="112"/>
      <c r="N223" s="121"/>
      <c r="O223" s="128">
        <v>200</v>
      </c>
      <c r="P223" s="223">
        <v>1</v>
      </c>
      <c r="R223" s="242" t="s">
        <v>948</v>
      </c>
      <c r="S223" s="112"/>
      <c r="T223" s="112"/>
      <c r="U223" s="112"/>
      <c r="V223" s="121"/>
      <c r="W223" s="128">
        <v>250</v>
      </c>
      <c r="X223" s="223">
        <v>0</v>
      </c>
      <c r="Z223" s="222"/>
      <c r="AA223" s="245"/>
      <c r="AB223" s="245"/>
      <c r="AC223" s="245"/>
      <c r="AD223" s="121"/>
      <c r="AE223" s="126"/>
      <c r="AF223" s="286"/>
    </row>
    <row r="224" spans="2:32" ht="13.5" thickBot="1">
      <c r="B224" s="242" t="s">
        <v>2360</v>
      </c>
      <c r="C224" s="112"/>
      <c r="D224" s="112"/>
      <c r="E224" s="112"/>
      <c r="F224" s="121"/>
      <c r="G224" s="128">
        <v>6</v>
      </c>
      <c r="H224" s="223">
        <v>0.5</v>
      </c>
      <c r="J224" s="288"/>
      <c r="K224" s="283"/>
      <c r="L224" s="283"/>
      <c r="M224" s="284"/>
      <c r="N224" s="284"/>
      <c r="O224" s="142"/>
      <c r="P224" s="289"/>
      <c r="R224" s="242" t="s">
        <v>967</v>
      </c>
      <c r="S224" s="112"/>
      <c r="T224" s="112"/>
      <c r="U224" s="112"/>
      <c r="V224" s="121"/>
      <c r="W224" s="128">
        <v>600</v>
      </c>
      <c r="X224" s="223">
        <v>0</v>
      </c>
      <c r="Z224" s="238"/>
      <c r="AA224" s="241"/>
      <c r="AB224" s="241"/>
      <c r="AC224" s="241"/>
      <c r="AD224" s="225"/>
      <c r="AE224" s="224"/>
      <c r="AF224" s="287"/>
    </row>
    <row r="225" spans="2:24" ht="12.75">
      <c r="B225" s="242" t="s">
        <v>2361</v>
      </c>
      <c r="C225" s="112"/>
      <c r="D225" s="112"/>
      <c r="E225" s="112"/>
      <c r="F225" s="121"/>
      <c r="G225" s="128">
        <v>1</v>
      </c>
      <c r="H225" s="223">
        <v>0</v>
      </c>
      <c r="J225" s="288"/>
      <c r="K225" s="283"/>
      <c r="L225" s="283"/>
      <c r="M225" s="284"/>
      <c r="N225" s="284"/>
      <c r="O225" s="142"/>
      <c r="P225" s="289"/>
      <c r="R225" s="242" t="s">
        <v>949</v>
      </c>
      <c r="S225" s="112"/>
      <c r="T225" s="112"/>
      <c r="U225" s="112"/>
      <c r="V225" s="121"/>
      <c r="W225" s="128">
        <v>700</v>
      </c>
      <c r="X225" s="223">
        <v>0</v>
      </c>
    </row>
    <row r="226" spans="2:24" ht="13.5" thickBot="1">
      <c r="B226" s="242" t="s">
        <v>2362</v>
      </c>
      <c r="C226" s="112"/>
      <c r="D226" s="112"/>
      <c r="E226" s="112"/>
      <c r="F226" s="121"/>
      <c r="G226" s="128">
        <v>0.9</v>
      </c>
      <c r="H226" s="223">
        <v>2</v>
      </c>
      <c r="J226" s="240"/>
      <c r="K226" s="241"/>
      <c r="L226" s="241"/>
      <c r="M226" s="224"/>
      <c r="N226" s="224"/>
      <c r="O226" s="225"/>
      <c r="P226" s="229"/>
      <c r="R226" s="242" t="s">
        <v>950</v>
      </c>
      <c r="S226" s="112"/>
      <c r="T226" s="112"/>
      <c r="U226" s="112"/>
      <c r="V226" s="121"/>
      <c r="W226" s="128">
        <v>100</v>
      </c>
      <c r="X226" s="223">
        <v>3</v>
      </c>
    </row>
    <row r="227" spans="2:24" ht="12.75">
      <c r="B227" s="242" t="s">
        <v>927</v>
      </c>
      <c r="C227" s="112"/>
      <c r="D227" s="112"/>
      <c r="E227" s="112"/>
      <c r="F227" s="121"/>
      <c r="G227" s="128">
        <v>1</v>
      </c>
      <c r="H227" s="223">
        <v>0</v>
      </c>
      <c r="R227" s="242" t="s">
        <v>951</v>
      </c>
      <c r="S227" s="112"/>
      <c r="T227" s="112"/>
      <c r="U227" s="112"/>
      <c r="V227" s="121"/>
      <c r="W227" s="128">
        <v>100</v>
      </c>
      <c r="X227" s="223">
        <v>8</v>
      </c>
    </row>
    <row r="228" spans="2:24" ht="13.5" thickBot="1">
      <c r="B228" s="242" t="s">
        <v>843</v>
      </c>
      <c r="C228" s="112"/>
      <c r="D228" s="112"/>
      <c r="E228" s="112"/>
      <c r="F228" s="121"/>
      <c r="G228" s="128">
        <v>8</v>
      </c>
      <c r="H228" s="223">
        <v>5</v>
      </c>
      <c r="R228" s="242" t="s">
        <v>973</v>
      </c>
      <c r="S228" s="112"/>
      <c r="T228" s="112"/>
      <c r="U228" s="112"/>
      <c r="V228" s="121"/>
      <c r="W228" s="128">
        <v>200</v>
      </c>
      <c r="X228" s="223">
        <v>20</v>
      </c>
    </row>
    <row r="229" spans="2:24" ht="12.75">
      <c r="B229" s="242" t="s">
        <v>844</v>
      </c>
      <c r="C229" s="112"/>
      <c r="D229" s="112"/>
      <c r="E229" s="112"/>
      <c r="F229" s="121"/>
      <c r="G229" s="128">
        <v>15</v>
      </c>
      <c r="H229" s="223">
        <v>15</v>
      </c>
      <c r="J229" s="421" t="s">
        <v>993</v>
      </c>
      <c r="K229" s="157"/>
      <c r="L229" s="157"/>
      <c r="M229" s="157"/>
      <c r="N229" s="261" t="s">
        <v>2379</v>
      </c>
      <c r="O229" s="285" t="s">
        <v>2385</v>
      </c>
      <c r="P229" s="281" t="s">
        <v>2432</v>
      </c>
      <c r="R229" s="242" t="s">
        <v>972</v>
      </c>
      <c r="S229" s="112"/>
      <c r="T229" s="112"/>
      <c r="U229" s="112"/>
      <c r="V229" s="121"/>
      <c r="W229" s="128">
        <v>125</v>
      </c>
      <c r="X229" s="223">
        <v>6</v>
      </c>
    </row>
    <row r="230" spans="2:24" ht="12.75">
      <c r="B230" s="242" t="s">
        <v>845</v>
      </c>
      <c r="C230" s="112"/>
      <c r="D230" s="112"/>
      <c r="E230" s="112"/>
      <c r="F230" s="121"/>
      <c r="G230" s="128">
        <v>25</v>
      </c>
      <c r="H230" s="223">
        <v>25</v>
      </c>
      <c r="J230" s="242" t="s">
        <v>994</v>
      </c>
      <c r="K230" s="112"/>
      <c r="L230" s="112"/>
      <c r="M230" s="112"/>
      <c r="N230" s="121"/>
      <c r="O230" s="128">
        <v>550</v>
      </c>
      <c r="P230" s="223">
        <v>1</v>
      </c>
      <c r="R230" s="242" t="s">
        <v>971</v>
      </c>
      <c r="S230" s="112"/>
      <c r="T230" s="112"/>
      <c r="U230" s="112"/>
      <c r="V230" s="121"/>
      <c r="W230" s="128">
        <v>75</v>
      </c>
      <c r="X230" s="223">
        <v>2</v>
      </c>
    </row>
    <row r="231" spans="2:24" ht="12.75">
      <c r="B231" s="242" t="s">
        <v>2363</v>
      </c>
      <c r="C231" s="112"/>
      <c r="D231" s="112"/>
      <c r="E231" s="112"/>
      <c r="F231" s="121"/>
      <c r="G231" s="128">
        <v>2</v>
      </c>
      <c r="H231" s="223">
        <v>1</v>
      </c>
      <c r="J231" s="242" t="s">
        <v>995</v>
      </c>
      <c r="K231" s="112"/>
      <c r="L231" s="112"/>
      <c r="M231" s="112"/>
      <c r="N231" s="121"/>
      <c r="O231" s="128">
        <v>1800</v>
      </c>
      <c r="P231" s="223">
        <v>2</v>
      </c>
      <c r="R231" s="242" t="s">
        <v>952</v>
      </c>
      <c r="S231" s="112"/>
      <c r="T231" s="112"/>
      <c r="U231" s="112"/>
      <c r="V231" s="121"/>
      <c r="W231" s="128">
        <v>300</v>
      </c>
      <c r="X231" s="223">
        <v>2</v>
      </c>
    </row>
    <row r="232" spans="2:24" ht="12.75">
      <c r="B232" s="242" t="s">
        <v>2364</v>
      </c>
      <c r="C232" s="112"/>
      <c r="D232" s="112"/>
      <c r="E232" s="112"/>
      <c r="F232" s="121"/>
      <c r="G232" s="128">
        <v>1</v>
      </c>
      <c r="H232" s="223">
        <v>0</v>
      </c>
      <c r="J232" s="242" t="s">
        <v>996</v>
      </c>
      <c r="K232" s="112"/>
      <c r="L232" s="112"/>
      <c r="M232" s="112"/>
      <c r="N232" s="121"/>
      <c r="O232" s="128">
        <v>1100</v>
      </c>
      <c r="P232" s="223">
        <v>2</v>
      </c>
      <c r="R232" s="242" t="s">
        <v>953</v>
      </c>
      <c r="S232" s="112"/>
      <c r="T232" s="112"/>
      <c r="U232" s="112"/>
      <c r="V232" s="121"/>
      <c r="W232" s="128">
        <v>450</v>
      </c>
      <c r="X232" s="223">
        <v>2</v>
      </c>
    </row>
    <row r="233" spans="2:24" ht="12.75">
      <c r="B233" s="242" t="s">
        <v>985</v>
      </c>
      <c r="C233" s="112"/>
      <c r="D233" s="112"/>
      <c r="E233" s="112"/>
      <c r="F233" s="121"/>
      <c r="G233" s="128">
        <v>5</v>
      </c>
      <c r="H233" s="223">
        <v>0</v>
      </c>
      <c r="J233" s="242" t="s">
        <v>997</v>
      </c>
      <c r="K233" s="112"/>
      <c r="L233" s="112"/>
      <c r="M233" s="112"/>
      <c r="N233" s="121"/>
      <c r="O233" s="128">
        <v>450</v>
      </c>
      <c r="P233" s="223">
        <v>1</v>
      </c>
      <c r="R233" s="242" t="s">
        <v>955</v>
      </c>
      <c r="S233" s="112"/>
      <c r="T233" s="112"/>
      <c r="U233" s="112"/>
      <c r="V233" s="121"/>
      <c r="W233" s="128">
        <v>200</v>
      </c>
      <c r="X233" s="223">
        <v>5</v>
      </c>
    </row>
    <row r="234" spans="2:24" ht="12.75">
      <c r="B234" s="242" t="s">
        <v>928</v>
      </c>
      <c r="C234" s="112"/>
      <c r="D234" s="112"/>
      <c r="E234" s="112"/>
      <c r="F234" s="121"/>
      <c r="G234" s="128">
        <v>30</v>
      </c>
      <c r="H234" s="223">
        <v>15</v>
      </c>
      <c r="J234" s="242" t="s">
        <v>998</v>
      </c>
      <c r="K234" s="112"/>
      <c r="L234" s="112"/>
      <c r="M234" s="112"/>
      <c r="N234" s="121"/>
      <c r="O234" s="128">
        <v>1750</v>
      </c>
      <c r="P234" s="223">
        <v>2</v>
      </c>
      <c r="R234" s="242" t="s">
        <v>954</v>
      </c>
      <c r="S234" s="112"/>
      <c r="T234" s="112"/>
      <c r="U234" s="112"/>
      <c r="V234" s="121"/>
      <c r="W234" s="128">
        <v>75</v>
      </c>
      <c r="X234" s="223">
        <v>2</v>
      </c>
    </row>
    <row r="235" spans="2:24" ht="12.75">
      <c r="B235" s="242" t="s">
        <v>986</v>
      </c>
      <c r="C235" s="112"/>
      <c r="D235" s="112"/>
      <c r="E235" s="112"/>
      <c r="F235" s="121"/>
      <c r="G235" s="128">
        <v>100</v>
      </c>
      <c r="H235" s="223">
        <v>1</v>
      </c>
      <c r="J235" s="242" t="s">
        <v>999</v>
      </c>
      <c r="K235" s="112"/>
      <c r="L235" s="112"/>
      <c r="M235" s="112"/>
      <c r="N235" s="121"/>
      <c r="O235" s="128">
        <v>3000</v>
      </c>
      <c r="P235" s="223">
        <v>3</v>
      </c>
      <c r="R235" s="242" t="s">
        <v>956</v>
      </c>
      <c r="S235" s="112"/>
      <c r="T235" s="112"/>
      <c r="U235" s="112"/>
      <c r="V235" s="121"/>
      <c r="W235" s="128">
        <v>65</v>
      </c>
      <c r="X235" s="223">
        <v>2</v>
      </c>
    </row>
    <row r="236" spans="2:24" ht="12.75">
      <c r="B236" s="242" t="s">
        <v>2365</v>
      </c>
      <c r="C236" s="112"/>
      <c r="D236" s="112"/>
      <c r="E236" s="112"/>
      <c r="F236" s="121"/>
      <c r="G236" s="128">
        <v>0.5</v>
      </c>
      <c r="H236" s="223">
        <v>1</v>
      </c>
      <c r="J236" s="242" t="s">
        <v>1000</v>
      </c>
      <c r="K236" s="112"/>
      <c r="L236" s="112"/>
      <c r="M236" s="112"/>
      <c r="N236" s="121"/>
      <c r="O236" s="128">
        <v>3000</v>
      </c>
      <c r="P236" s="223">
        <v>1</v>
      </c>
      <c r="R236" s="242" t="s">
        <v>957</v>
      </c>
      <c r="S236" s="112"/>
      <c r="T236" s="112"/>
      <c r="U236" s="112"/>
      <c r="V236" s="121"/>
      <c r="W236" s="128">
        <v>350</v>
      </c>
      <c r="X236" s="223">
        <v>0</v>
      </c>
    </row>
    <row r="237" spans="2:24" ht="12.75">
      <c r="B237" s="242" t="s">
        <v>2366</v>
      </c>
      <c r="C237" s="112"/>
      <c r="D237" s="112"/>
      <c r="E237" s="112"/>
      <c r="F237" s="121"/>
      <c r="G237" s="128">
        <v>0.2</v>
      </c>
      <c r="H237" s="223">
        <v>1</v>
      </c>
      <c r="J237" s="242" t="s">
        <v>1001</v>
      </c>
      <c r="K237" s="112"/>
      <c r="L237" s="112"/>
      <c r="M237" s="112"/>
      <c r="N237" s="121"/>
      <c r="O237" s="128">
        <v>2000</v>
      </c>
      <c r="P237" s="223">
        <v>4</v>
      </c>
      <c r="R237" s="242" t="s">
        <v>961</v>
      </c>
      <c r="S237" s="112"/>
      <c r="T237" s="112"/>
      <c r="U237" s="112"/>
      <c r="V237" s="121"/>
      <c r="W237" s="128">
        <v>750</v>
      </c>
      <c r="X237" s="223">
        <v>2</v>
      </c>
    </row>
    <row r="238" spans="2:24" ht="12.75">
      <c r="B238" s="242" t="s">
        <v>987</v>
      </c>
      <c r="C238" s="112"/>
      <c r="D238" s="112"/>
      <c r="E238" s="112"/>
      <c r="F238" s="121"/>
      <c r="G238" s="128">
        <v>10</v>
      </c>
      <c r="H238" s="223">
        <v>0.5</v>
      </c>
      <c r="J238" s="242" t="s">
        <v>1002</v>
      </c>
      <c r="K238" s="112"/>
      <c r="L238" s="112"/>
      <c r="M238" s="112"/>
      <c r="N238" s="121"/>
      <c r="O238" s="128">
        <v>3000</v>
      </c>
      <c r="P238" s="223">
        <v>1</v>
      </c>
      <c r="R238" s="242" t="s">
        <v>960</v>
      </c>
      <c r="S238" s="112"/>
      <c r="T238" s="112"/>
      <c r="U238" s="112"/>
      <c r="V238" s="121"/>
      <c r="W238" s="128">
        <v>600</v>
      </c>
      <c r="X238" s="223">
        <v>2</v>
      </c>
    </row>
    <row r="239" spans="2:24" ht="12.75">
      <c r="B239" s="222"/>
      <c r="C239" s="245"/>
      <c r="D239" s="245"/>
      <c r="E239" s="245"/>
      <c r="F239" s="121"/>
      <c r="G239" s="126"/>
      <c r="H239" s="244"/>
      <c r="J239" s="242" t="s">
        <v>1003</v>
      </c>
      <c r="K239" s="112"/>
      <c r="L239" s="112"/>
      <c r="M239" s="112"/>
      <c r="N239" s="121"/>
      <c r="O239" s="128">
        <v>4000</v>
      </c>
      <c r="P239" s="223">
        <v>1</v>
      </c>
      <c r="R239" s="242" t="s">
        <v>962</v>
      </c>
      <c r="S239" s="112"/>
      <c r="T239" s="112"/>
      <c r="U239" s="112"/>
      <c r="V239" s="121"/>
      <c r="W239" s="128">
        <v>150</v>
      </c>
      <c r="X239" s="223">
        <v>2</v>
      </c>
    </row>
    <row r="240" spans="2:24" ht="12.75">
      <c r="B240" s="222"/>
      <c r="C240" s="245"/>
      <c r="D240" s="245"/>
      <c r="E240" s="245"/>
      <c r="F240" s="121"/>
      <c r="G240" s="126"/>
      <c r="H240" s="244"/>
      <c r="J240" s="242" t="s">
        <v>1004</v>
      </c>
      <c r="K240" s="112"/>
      <c r="L240" s="112"/>
      <c r="M240" s="112"/>
      <c r="N240" s="121"/>
      <c r="O240" s="128">
        <v>2000</v>
      </c>
      <c r="P240" s="223">
        <v>1</v>
      </c>
      <c r="R240" s="242" t="s">
        <v>959</v>
      </c>
      <c r="S240" s="112"/>
      <c r="T240" s="112"/>
      <c r="U240" s="112"/>
      <c r="V240" s="121"/>
      <c r="W240" s="128">
        <v>450</v>
      </c>
      <c r="X240" s="223">
        <v>2</v>
      </c>
    </row>
    <row r="241" spans="2:24" ht="12.75">
      <c r="B241" s="222"/>
      <c r="C241" s="245"/>
      <c r="D241" s="245"/>
      <c r="E241" s="245"/>
      <c r="F241" s="121"/>
      <c r="G241" s="126"/>
      <c r="H241" s="244"/>
      <c r="J241" s="242" t="s">
        <v>1005</v>
      </c>
      <c r="K241" s="112"/>
      <c r="L241" s="112"/>
      <c r="M241" s="112"/>
      <c r="N241" s="121"/>
      <c r="O241" s="128">
        <v>1800</v>
      </c>
      <c r="P241" s="223">
        <v>1</v>
      </c>
      <c r="R241" s="242" t="s">
        <v>958</v>
      </c>
      <c r="S241" s="112"/>
      <c r="T241" s="112"/>
      <c r="U241" s="112"/>
      <c r="V241" s="121"/>
      <c r="W241" s="128">
        <v>300</v>
      </c>
      <c r="X241" s="223">
        <v>2</v>
      </c>
    </row>
    <row r="242" spans="2:24" ht="12.75">
      <c r="B242" s="222"/>
      <c r="C242" s="245"/>
      <c r="D242" s="245"/>
      <c r="E242" s="245"/>
      <c r="F242" s="121"/>
      <c r="G242" s="126"/>
      <c r="H242" s="244"/>
      <c r="J242" s="242" t="s">
        <v>1006</v>
      </c>
      <c r="K242" s="112"/>
      <c r="L242" s="112"/>
      <c r="M242" s="112"/>
      <c r="N242" s="121"/>
      <c r="O242" s="128">
        <v>1500</v>
      </c>
      <c r="P242" s="223">
        <v>1</v>
      </c>
      <c r="R242" s="242" t="s">
        <v>963</v>
      </c>
      <c r="S242" s="112"/>
      <c r="T242" s="112"/>
      <c r="U242" s="112"/>
      <c r="V242" s="121"/>
      <c r="W242" s="128">
        <v>350</v>
      </c>
      <c r="X242" s="223">
        <v>2</v>
      </c>
    </row>
    <row r="243" spans="2:24" ht="12.75">
      <c r="B243" s="222"/>
      <c r="C243" s="245"/>
      <c r="D243" s="245"/>
      <c r="E243" s="245"/>
      <c r="F243" s="121"/>
      <c r="G243" s="126"/>
      <c r="H243" s="244"/>
      <c r="J243" s="242" t="s">
        <v>1007</v>
      </c>
      <c r="K243" s="112"/>
      <c r="L243" s="112"/>
      <c r="M243" s="112"/>
      <c r="N243" s="121"/>
      <c r="O243" s="128">
        <v>1500</v>
      </c>
      <c r="P243" s="223">
        <v>1</v>
      </c>
      <c r="R243" s="242" t="s">
        <v>964</v>
      </c>
      <c r="S243" s="112"/>
      <c r="T243" s="112"/>
      <c r="U243" s="112"/>
      <c r="V243" s="121"/>
      <c r="W243" s="128">
        <v>275</v>
      </c>
      <c r="X243" s="223">
        <v>3</v>
      </c>
    </row>
    <row r="244" spans="2:24" ht="12.75">
      <c r="B244" s="222"/>
      <c r="C244" s="245"/>
      <c r="D244" s="245"/>
      <c r="E244" s="245"/>
      <c r="F244" s="121"/>
      <c r="G244" s="126"/>
      <c r="H244" s="244"/>
      <c r="J244" s="242" t="s">
        <v>1008</v>
      </c>
      <c r="K244" s="112"/>
      <c r="L244" s="112"/>
      <c r="M244" s="112"/>
      <c r="N244" s="121"/>
      <c r="O244" s="128">
        <v>2000</v>
      </c>
      <c r="P244" s="223">
        <v>4</v>
      </c>
      <c r="R244" s="242" t="s">
        <v>965</v>
      </c>
      <c r="S244" s="112"/>
      <c r="T244" s="112"/>
      <c r="U244" s="112"/>
      <c r="V244" s="121"/>
      <c r="W244" s="128">
        <v>510</v>
      </c>
      <c r="X244" s="223">
        <v>2</v>
      </c>
    </row>
    <row r="245" spans="2:24" ht="12.75">
      <c r="B245" s="222"/>
      <c r="C245" s="245"/>
      <c r="D245" s="245"/>
      <c r="E245" s="245"/>
      <c r="F245" s="121"/>
      <c r="G245" s="126"/>
      <c r="H245" s="244"/>
      <c r="J245" s="242" t="s">
        <v>1009</v>
      </c>
      <c r="K245" s="112"/>
      <c r="L245" s="112"/>
      <c r="M245" s="112"/>
      <c r="N245" s="121"/>
      <c r="O245" s="128">
        <v>2000</v>
      </c>
      <c r="P245" s="223">
        <v>1</v>
      </c>
      <c r="R245" s="242" t="s">
        <v>966</v>
      </c>
      <c r="S245" s="112"/>
      <c r="T245" s="112"/>
      <c r="U245" s="112"/>
      <c r="V245" s="121"/>
      <c r="W245" s="128">
        <v>250</v>
      </c>
      <c r="X245" s="286"/>
    </row>
    <row r="246" spans="2:24" ht="12.75">
      <c r="B246" s="222"/>
      <c r="C246" s="245"/>
      <c r="D246" s="245"/>
      <c r="E246" s="245"/>
      <c r="F246" s="121"/>
      <c r="G246" s="126"/>
      <c r="H246" s="244"/>
      <c r="J246" s="242" t="s">
        <v>1010</v>
      </c>
      <c r="K246" s="112"/>
      <c r="L246" s="112"/>
      <c r="M246" s="112"/>
      <c r="N246" s="121"/>
      <c r="O246" s="128">
        <v>2100</v>
      </c>
      <c r="P246" s="223">
        <v>2</v>
      </c>
      <c r="R246" s="222"/>
      <c r="S246" s="245"/>
      <c r="T246" s="245"/>
      <c r="U246" s="245"/>
      <c r="V246" s="121"/>
      <c r="W246" s="126"/>
      <c r="X246" s="286"/>
    </row>
    <row r="247" spans="2:24" ht="12.75">
      <c r="B247" s="222"/>
      <c r="C247" s="245"/>
      <c r="D247" s="245"/>
      <c r="E247" s="245"/>
      <c r="F247" s="121"/>
      <c r="G247" s="126"/>
      <c r="H247" s="244"/>
      <c r="J247" s="242" t="s">
        <v>1011</v>
      </c>
      <c r="K247" s="112"/>
      <c r="L247" s="112"/>
      <c r="M247" s="112"/>
      <c r="N247" s="121"/>
      <c r="O247" s="128">
        <v>6000</v>
      </c>
      <c r="P247" s="223">
        <v>2</v>
      </c>
      <c r="R247" s="222"/>
      <c r="S247" s="245"/>
      <c r="T247" s="245"/>
      <c r="U247" s="245"/>
      <c r="V247" s="121"/>
      <c r="W247" s="126"/>
      <c r="X247" s="286"/>
    </row>
    <row r="248" spans="2:24" ht="12.75">
      <c r="B248" s="222"/>
      <c r="C248" s="245"/>
      <c r="D248" s="245"/>
      <c r="E248" s="245"/>
      <c r="F248" s="121"/>
      <c r="G248" s="126"/>
      <c r="H248" s="244"/>
      <c r="J248" s="222"/>
      <c r="K248" s="245"/>
      <c r="L248" s="245"/>
      <c r="M248" s="245"/>
      <c r="N248" s="121"/>
      <c r="O248" s="126"/>
      <c r="P248" s="286"/>
      <c r="R248" s="222"/>
      <c r="S248" s="245"/>
      <c r="T248" s="245"/>
      <c r="U248" s="245"/>
      <c r="V248" s="121"/>
      <c r="W248" s="126"/>
      <c r="X248" s="286"/>
    </row>
    <row r="249" spans="2:24" ht="13.5" thickBot="1">
      <c r="B249" s="238"/>
      <c r="C249" s="241"/>
      <c r="D249" s="241"/>
      <c r="E249" s="241"/>
      <c r="F249" s="225"/>
      <c r="G249" s="224"/>
      <c r="H249" s="239"/>
      <c r="J249" s="238"/>
      <c r="K249" s="241"/>
      <c r="L249" s="241"/>
      <c r="M249" s="241"/>
      <c r="N249" s="225"/>
      <c r="O249" s="224"/>
      <c r="P249" s="287"/>
      <c r="R249" s="238"/>
      <c r="S249" s="241"/>
      <c r="T249" s="241"/>
      <c r="U249" s="241"/>
      <c r="V249" s="225"/>
      <c r="W249" s="224"/>
      <c r="X249" s="287"/>
    </row>
    <row r="251" ht="13.5" thickBot="1"/>
    <row r="252" spans="2:24" ht="12.75">
      <c r="B252" s="549" t="s">
        <v>2433</v>
      </c>
      <c r="C252" s="550"/>
      <c r="D252" s="550"/>
      <c r="E252" s="550"/>
      <c r="F252" s="157" t="s">
        <v>2422</v>
      </c>
      <c r="G252" s="157"/>
      <c r="H252" s="157"/>
      <c r="I252" s="157"/>
      <c r="J252" s="157"/>
      <c r="K252" s="157"/>
      <c r="L252" s="157"/>
      <c r="M252" s="157"/>
      <c r="N252" s="157"/>
      <c r="O252" s="157"/>
      <c r="P252" s="233"/>
      <c r="R252" s="421" t="s">
        <v>1044</v>
      </c>
      <c r="S252" s="157"/>
      <c r="T252" s="157"/>
      <c r="U252" s="157"/>
      <c r="V252" s="157"/>
      <c r="W252" s="157"/>
      <c r="X252" s="233"/>
    </row>
    <row r="253" spans="2:24" ht="12.75">
      <c r="B253" s="545"/>
      <c r="C253" s="546"/>
      <c r="D253" s="546"/>
      <c r="E253" s="509"/>
      <c r="F253" s="384"/>
      <c r="G253" s="245"/>
      <c r="H253" s="245"/>
      <c r="I253" s="245"/>
      <c r="J253" s="245"/>
      <c r="K253" s="245"/>
      <c r="L253" s="245"/>
      <c r="M253" s="245"/>
      <c r="N253" s="245"/>
      <c r="O253" s="245"/>
      <c r="P253" s="244"/>
      <c r="R253" s="402" t="s">
        <v>793</v>
      </c>
      <c r="S253" s="120"/>
      <c r="T253" s="245"/>
      <c r="U253" s="245"/>
      <c r="V253" s="245"/>
      <c r="W253" s="245"/>
      <c r="X253" s="244"/>
    </row>
    <row r="254" spans="2:24" ht="12.75">
      <c r="B254" s="545"/>
      <c r="C254" s="546"/>
      <c r="D254" s="546"/>
      <c r="E254" s="509"/>
      <c r="F254" s="384"/>
      <c r="G254" s="245"/>
      <c r="H254" s="245"/>
      <c r="I254" s="245"/>
      <c r="J254" s="245"/>
      <c r="K254" s="245"/>
      <c r="L254" s="245"/>
      <c r="M254" s="245"/>
      <c r="N254" s="245"/>
      <c r="O254" s="245"/>
      <c r="P254" s="244"/>
      <c r="R254" s="402" t="s">
        <v>1045</v>
      </c>
      <c r="S254" s="120"/>
      <c r="T254" s="245"/>
      <c r="U254" s="245"/>
      <c r="V254" s="245"/>
      <c r="W254" s="245"/>
      <c r="X254" s="244"/>
    </row>
    <row r="255" spans="2:24" ht="12.75">
      <c r="B255" s="545"/>
      <c r="C255" s="546"/>
      <c r="D255" s="546"/>
      <c r="E255" s="509"/>
      <c r="F255" s="384"/>
      <c r="G255" s="245"/>
      <c r="H255" s="245"/>
      <c r="I255" s="245"/>
      <c r="J255" s="245"/>
      <c r="K255" s="245"/>
      <c r="L255" s="245"/>
      <c r="M255" s="245"/>
      <c r="N255" s="245"/>
      <c r="O255" s="245"/>
      <c r="P255" s="244"/>
      <c r="R255" s="402" t="s">
        <v>2564</v>
      </c>
      <c r="S255" s="120"/>
      <c r="T255" s="121"/>
      <c r="U255" s="376" t="s">
        <v>1180</v>
      </c>
      <c r="V255" s="120"/>
      <c r="W255" s="120"/>
      <c r="X255" s="228"/>
    </row>
    <row r="256" spans="2:24" ht="12.75">
      <c r="B256" s="545"/>
      <c r="C256" s="546"/>
      <c r="D256" s="546"/>
      <c r="E256" s="509"/>
      <c r="F256" s="384"/>
      <c r="G256" s="245"/>
      <c r="H256" s="245"/>
      <c r="I256" s="245"/>
      <c r="J256" s="245"/>
      <c r="K256" s="245"/>
      <c r="L256" s="245"/>
      <c r="M256" s="245"/>
      <c r="N256" s="245"/>
      <c r="O256" s="245"/>
      <c r="P256" s="244"/>
      <c r="R256" s="402" t="s">
        <v>2565</v>
      </c>
      <c r="S256" s="120"/>
      <c r="T256" s="121"/>
      <c r="U256" s="376" t="s">
        <v>1177</v>
      </c>
      <c r="V256" s="120"/>
      <c r="W256" s="120"/>
      <c r="X256" s="228"/>
    </row>
    <row r="257" spans="2:24" ht="12.75">
      <c r="B257" s="545"/>
      <c r="C257" s="546"/>
      <c r="D257" s="546"/>
      <c r="E257" s="509"/>
      <c r="F257" s="384"/>
      <c r="G257" s="245"/>
      <c r="H257" s="245"/>
      <c r="I257" s="245"/>
      <c r="J257" s="245"/>
      <c r="K257" s="245"/>
      <c r="L257" s="245"/>
      <c r="M257" s="245"/>
      <c r="N257" s="245"/>
      <c r="O257" s="245"/>
      <c r="P257" s="244"/>
      <c r="R257" s="402" t="s">
        <v>2429</v>
      </c>
      <c r="S257" s="120"/>
      <c r="T257" s="121"/>
      <c r="U257" s="376" t="s">
        <v>1178</v>
      </c>
      <c r="V257" s="120"/>
      <c r="W257" s="120"/>
      <c r="X257" s="228"/>
    </row>
    <row r="258" spans="2:24" ht="12.75">
      <c r="B258" s="545"/>
      <c r="C258" s="546"/>
      <c r="D258" s="546"/>
      <c r="E258" s="509"/>
      <c r="F258" s="384"/>
      <c r="G258" s="245"/>
      <c r="H258" s="245"/>
      <c r="I258" s="245"/>
      <c r="J258" s="245"/>
      <c r="K258" s="245"/>
      <c r="L258" s="245"/>
      <c r="M258" s="245"/>
      <c r="N258" s="245"/>
      <c r="O258" s="245"/>
      <c r="P258" s="244"/>
      <c r="R258" s="402" t="s">
        <v>2566</v>
      </c>
      <c r="S258" s="120"/>
      <c r="T258" s="121"/>
      <c r="U258" s="376" t="s">
        <v>1179</v>
      </c>
      <c r="V258" s="120"/>
      <c r="W258" s="120"/>
      <c r="X258" s="228"/>
    </row>
    <row r="259" spans="2:24" ht="12.75">
      <c r="B259" s="545"/>
      <c r="C259" s="546"/>
      <c r="D259" s="546"/>
      <c r="E259" s="509"/>
      <c r="F259" s="384"/>
      <c r="G259" s="245"/>
      <c r="H259" s="245"/>
      <c r="I259" s="245"/>
      <c r="J259" s="245"/>
      <c r="K259" s="245"/>
      <c r="L259" s="245"/>
      <c r="M259" s="245"/>
      <c r="N259" s="245"/>
      <c r="O259" s="245"/>
      <c r="P259" s="244"/>
      <c r="R259" s="402" t="s">
        <v>1043</v>
      </c>
      <c r="S259" s="120"/>
      <c r="T259" s="121"/>
      <c r="U259" s="376" t="s">
        <v>1184</v>
      </c>
      <c r="V259" s="120"/>
      <c r="W259" s="120"/>
      <c r="X259" s="228"/>
    </row>
    <row r="260" spans="2:24" ht="12.75">
      <c r="B260" s="545"/>
      <c r="C260" s="546"/>
      <c r="D260" s="546"/>
      <c r="E260" s="509"/>
      <c r="F260" s="384"/>
      <c r="G260" s="245"/>
      <c r="H260" s="245"/>
      <c r="I260" s="245"/>
      <c r="J260" s="245"/>
      <c r="K260" s="245"/>
      <c r="L260" s="245"/>
      <c r="M260" s="245"/>
      <c r="N260" s="245"/>
      <c r="O260" s="245"/>
      <c r="P260" s="244"/>
      <c r="R260" s="402" t="s">
        <v>2568</v>
      </c>
      <c r="S260" s="120"/>
      <c r="T260" s="121"/>
      <c r="U260" s="376" t="s">
        <v>1185</v>
      </c>
      <c r="V260" s="120"/>
      <c r="W260" s="120"/>
      <c r="X260" s="228"/>
    </row>
    <row r="261" spans="2:24" ht="12.75">
      <c r="B261" s="545"/>
      <c r="C261" s="546"/>
      <c r="D261" s="546"/>
      <c r="E261" s="509"/>
      <c r="F261" s="384"/>
      <c r="G261" s="245"/>
      <c r="H261" s="245"/>
      <c r="I261" s="245"/>
      <c r="J261" s="245"/>
      <c r="K261" s="245"/>
      <c r="L261" s="245"/>
      <c r="M261" s="245"/>
      <c r="N261" s="245"/>
      <c r="O261" s="245"/>
      <c r="P261" s="244"/>
      <c r="R261" s="402" t="s">
        <v>1029</v>
      </c>
      <c r="S261" s="120"/>
      <c r="T261" s="121"/>
      <c r="U261" s="376" t="s">
        <v>1183</v>
      </c>
      <c r="V261" s="120"/>
      <c r="W261" s="120"/>
      <c r="X261" s="228"/>
    </row>
    <row r="262" spans="2:24" ht="13.5" thickBot="1">
      <c r="B262" s="547"/>
      <c r="C262" s="548"/>
      <c r="D262" s="548"/>
      <c r="E262" s="510"/>
      <c r="F262" s="329"/>
      <c r="G262" s="241"/>
      <c r="H262" s="241"/>
      <c r="I262" s="241"/>
      <c r="J262" s="241"/>
      <c r="K262" s="241"/>
      <c r="L262" s="241"/>
      <c r="M262" s="241"/>
      <c r="N262" s="241"/>
      <c r="O262" s="241"/>
      <c r="P262" s="239"/>
      <c r="R262" s="402" t="s">
        <v>1030</v>
      </c>
      <c r="S262" s="120"/>
      <c r="T262" s="121"/>
      <c r="U262" s="376" t="s">
        <v>1033</v>
      </c>
      <c r="V262" s="120"/>
      <c r="W262" s="120"/>
      <c r="X262" s="228"/>
    </row>
    <row r="263" spans="18:24" ht="12.75">
      <c r="R263" s="402" t="s">
        <v>1031</v>
      </c>
      <c r="S263" s="120"/>
      <c r="T263" s="121"/>
      <c r="U263" s="376" t="s">
        <v>1040</v>
      </c>
      <c r="V263" s="120"/>
      <c r="W263" s="120"/>
      <c r="X263" s="228"/>
    </row>
    <row r="264" spans="18:24" ht="13.5" thickBot="1">
      <c r="R264" s="402" t="s">
        <v>1032</v>
      </c>
      <c r="S264" s="120"/>
      <c r="T264" s="121"/>
      <c r="U264" s="376" t="s">
        <v>1035</v>
      </c>
      <c r="V264" s="120"/>
      <c r="W264" s="120"/>
      <c r="X264" s="228"/>
    </row>
    <row r="265" spans="2:24" ht="12.75">
      <c r="B265" s="549" t="s">
        <v>778</v>
      </c>
      <c r="C265" s="550"/>
      <c r="D265" s="550"/>
      <c r="E265" s="261" t="s">
        <v>2419</v>
      </c>
      <c r="F265" s="260" t="s">
        <v>2385</v>
      </c>
      <c r="R265" s="402" t="s">
        <v>2627</v>
      </c>
      <c r="S265" s="120"/>
      <c r="T265" s="121"/>
      <c r="U265" s="376" t="s">
        <v>1036</v>
      </c>
      <c r="V265" s="120"/>
      <c r="W265" s="120"/>
      <c r="X265" s="228"/>
    </row>
    <row r="266" spans="2:24" ht="12.75">
      <c r="B266" s="545"/>
      <c r="C266" s="546"/>
      <c r="D266" s="546"/>
      <c r="E266" s="121"/>
      <c r="F266" s="160" t="str">
        <f aca="true" ca="1" t="shared" si="20" ref="F266:F277">IF(B266=""," ",OFFSET(Cost_5_8,E266,0))</f>
        <v> </v>
      </c>
      <c r="R266" s="402" t="s">
        <v>2450</v>
      </c>
      <c r="S266" s="120"/>
      <c r="T266" s="121"/>
      <c r="U266" s="376" t="s">
        <v>1041</v>
      </c>
      <c r="V266" s="120"/>
      <c r="W266" s="120"/>
      <c r="X266" s="228"/>
    </row>
    <row r="267" spans="2:24" ht="12.75">
      <c r="B267" s="545"/>
      <c r="C267" s="546"/>
      <c r="D267" s="546"/>
      <c r="E267" s="121"/>
      <c r="F267" s="160" t="str">
        <f ca="1" t="shared" si="20"/>
        <v> </v>
      </c>
      <c r="R267" s="402" t="s">
        <v>1429</v>
      </c>
      <c r="S267" s="120"/>
      <c r="T267" s="121"/>
      <c r="U267" s="376" t="s">
        <v>1042</v>
      </c>
      <c r="V267" s="120"/>
      <c r="W267" s="120"/>
      <c r="X267" s="228"/>
    </row>
    <row r="268" spans="2:24" ht="12.75">
      <c r="B268" s="545"/>
      <c r="C268" s="546"/>
      <c r="D268" s="546"/>
      <c r="E268" s="121"/>
      <c r="F268" s="160" t="str">
        <f ca="1" t="shared" si="20"/>
        <v> </v>
      </c>
      <c r="R268" s="403" t="s">
        <v>837</v>
      </c>
      <c r="S268" s="412"/>
      <c r="T268" s="440"/>
      <c r="U268" s="440"/>
      <c r="V268" s="440"/>
      <c r="W268" s="440"/>
      <c r="X268" s="441"/>
    </row>
    <row r="269" spans="2:24" ht="12.75">
      <c r="B269" s="545"/>
      <c r="C269" s="546"/>
      <c r="D269" s="546"/>
      <c r="E269" s="121"/>
      <c r="F269" s="160" t="str">
        <f ca="1" t="shared" si="20"/>
        <v> </v>
      </c>
      <c r="R269" s="403" t="s">
        <v>838</v>
      </c>
      <c r="S269" s="412"/>
      <c r="T269" s="442"/>
      <c r="U269" s="442"/>
      <c r="V269" s="442"/>
      <c r="W269" s="442"/>
      <c r="X269" s="443"/>
    </row>
    <row r="270" spans="2:24" ht="12.75">
      <c r="B270" s="545"/>
      <c r="C270" s="546"/>
      <c r="D270" s="546"/>
      <c r="E270" s="121"/>
      <c r="F270" s="160" t="str">
        <f ca="1" t="shared" si="20"/>
        <v> </v>
      </c>
      <c r="R270" s="403"/>
      <c r="S270" s="412"/>
      <c r="T270" s="442"/>
      <c r="U270" s="442"/>
      <c r="V270" s="442"/>
      <c r="W270" s="442"/>
      <c r="X270" s="443"/>
    </row>
    <row r="271" spans="2:24" ht="13.5" thickBot="1">
      <c r="B271" s="545"/>
      <c r="C271" s="546"/>
      <c r="D271" s="546"/>
      <c r="E271" s="121"/>
      <c r="F271" s="160" t="str">
        <f ca="1" t="shared" si="20"/>
        <v> </v>
      </c>
      <c r="R271" s="353"/>
      <c r="S271" s="354"/>
      <c r="T271" s="444"/>
      <c r="U271" s="444"/>
      <c r="V271" s="444"/>
      <c r="W271" s="444"/>
      <c r="X271" s="445"/>
    </row>
    <row r="272" spans="2:24" ht="12.75">
      <c r="B272" s="545"/>
      <c r="C272" s="546"/>
      <c r="D272" s="546"/>
      <c r="E272" s="121"/>
      <c r="F272" s="160" t="str">
        <f ca="1" t="shared" si="20"/>
        <v> </v>
      </c>
      <c r="S272" s="214"/>
      <c r="T272" s="214"/>
      <c r="U272" s="214"/>
      <c r="V272" s="214"/>
      <c r="W272" s="214"/>
      <c r="X272" s="214"/>
    </row>
    <row r="273" spans="2:31" ht="13.5" thickBot="1">
      <c r="B273" s="545"/>
      <c r="C273" s="546"/>
      <c r="D273" s="546"/>
      <c r="E273" s="121"/>
      <c r="F273" s="160" t="str">
        <f ca="1" t="shared" si="20"/>
        <v> </v>
      </c>
      <c r="S273" s="214"/>
      <c r="T273" s="214"/>
      <c r="U273" s="214"/>
      <c r="V273" s="214"/>
      <c r="W273" s="214"/>
      <c r="X273" s="214"/>
      <c r="Y273" s="214"/>
      <c r="AE273" s="214"/>
    </row>
    <row r="274" spans="2:24" ht="12.75">
      <c r="B274" s="545"/>
      <c r="C274" s="546"/>
      <c r="D274" s="546"/>
      <c r="E274" s="121"/>
      <c r="F274" s="160" t="str">
        <f ca="1" t="shared" si="20"/>
        <v> </v>
      </c>
      <c r="P274" s="421" t="s">
        <v>1186</v>
      </c>
      <c r="Q274" s="157"/>
      <c r="R274" s="157"/>
      <c r="S274" s="157"/>
      <c r="T274" s="157" t="s">
        <v>2375</v>
      </c>
      <c r="U274" s="157"/>
      <c r="V274" s="157"/>
      <c r="W274" s="157"/>
      <c r="X274" s="233"/>
    </row>
    <row r="275" spans="2:24" ht="12.75">
      <c r="B275" s="545"/>
      <c r="C275" s="546"/>
      <c r="D275" s="546"/>
      <c r="E275" s="121"/>
      <c r="F275" s="160" t="str">
        <f ca="1" t="shared" si="20"/>
        <v> </v>
      </c>
      <c r="P275" s="257" t="s">
        <v>1177</v>
      </c>
      <c r="Q275" s="120"/>
      <c r="R275" s="120"/>
      <c r="S275" s="121"/>
      <c r="T275" s="384"/>
      <c r="U275" s="245"/>
      <c r="V275" s="245"/>
      <c r="W275" s="245"/>
      <c r="X275" s="244"/>
    </row>
    <row r="276" spans="2:24" ht="12.75">
      <c r="B276" s="545"/>
      <c r="C276" s="546"/>
      <c r="D276" s="546"/>
      <c r="E276" s="121"/>
      <c r="F276" s="160" t="str">
        <f ca="1" t="shared" si="20"/>
        <v> </v>
      </c>
      <c r="P276" s="257" t="s">
        <v>1178</v>
      </c>
      <c r="Q276" s="120"/>
      <c r="R276" s="120"/>
      <c r="S276" s="121"/>
      <c r="T276" s="384"/>
      <c r="U276" s="245"/>
      <c r="V276" s="245"/>
      <c r="W276" s="245"/>
      <c r="X276" s="244"/>
    </row>
    <row r="277" spans="2:24" ht="13.5" thickBot="1">
      <c r="B277" s="547"/>
      <c r="C277" s="548"/>
      <c r="D277" s="548"/>
      <c r="E277" s="225"/>
      <c r="F277" s="227" t="str">
        <f ca="1" t="shared" si="20"/>
        <v> </v>
      </c>
      <c r="P277" s="257" t="s">
        <v>1179</v>
      </c>
      <c r="Q277" s="120"/>
      <c r="R277" s="120"/>
      <c r="S277" s="121"/>
      <c r="T277" s="384"/>
      <c r="U277" s="245"/>
      <c r="V277" s="245"/>
      <c r="W277" s="245"/>
      <c r="X277" s="244"/>
    </row>
    <row r="278" spans="16:24" ht="12.75">
      <c r="P278" s="257" t="s">
        <v>1184</v>
      </c>
      <c r="Q278" s="120"/>
      <c r="R278" s="120"/>
      <c r="S278" s="121"/>
      <c r="T278" s="384"/>
      <c r="U278" s="245"/>
      <c r="V278" s="245"/>
      <c r="W278" s="245"/>
      <c r="X278" s="244"/>
    </row>
    <row r="279" spans="16:24" ht="13.5" thickBot="1">
      <c r="P279" s="257" t="s">
        <v>1185</v>
      </c>
      <c r="Q279" s="120"/>
      <c r="R279" s="120"/>
      <c r="S279" s="121"/>
      <c r="T279" s="384"/>
      <c r="U279" s="245"/>
      <c r="V279" s="245"/>
      <c r="W279" s="245"/>
      <c r="X279" s="244"/>
    </row>
    <row r="280" spans="2:24" ht="12.75">
      <c r="B280" s="549" t="s">
        <v>2435</v>
      </c>
      <c r="C280" s="550"/>
      <c r="D280" s="550"/>
      <c r="E280" s="550"/>
      <c r="F280" s="550"/>
      <c r="G280" s="550"/>
      <c r="H280" s="550"/>
      <c r="I280" s="550"/>
      <c r="J280" s="550"/>
      <c r="K280" s="550"/>
      <c r="L280" s="550"/>
      <c r="M280" s="550"/>
      <c r="N280" s="511"/>
      <c r="P280" s="257" t="s">
        <v>1180</v>
      </c>
      <c r="Q280" s="120"/>
      <c r="R280" s="120"/>
      <c r="S280" s="121"/>
      <c r="T280" s="384"/>
      <c r="U280" s="245"/>
      <c r="V280" s="245"/>
      <c r="W280" s="245"/>
      <c r="X280" s="244"/>
    </row>
    <row r="281" spans="2:24" ht="12.75">
      <c r="B281" s="545"/>
      <c r="C281" s="546"/>
      <c r="D281" s="546"/>
      <c r="E281" s="546"/>
      <c r="F281" s="546"/>
      <c r="G281" s="546"/>
      <c r="H281" s="546"/>
      <c r="I281" s="546"/>
      <c r="J281" s="546"/>
      <c r="K281" s="546"/>
      <c r="L281" s="546"/>
      <c r="M281" s="546"/>
      <c r="N281" s="569"/>
      <c r="P281" s="257" t="s">
        <v>1181</v>
      </c>
      <c r="Q281" s="120"/>
      <c r="R281" s="120"/>
      <c r="S281" s="121"/>
      <c r="T281" s="384"/>
      <c r="U281" s="245"/>
      <c r="V281" s="245"/>
      <c r="W281" s="245"/>
      <c r="X281" s="244"/>
    </row>
    <row r="282" spans="2:24" ht="12.75">
      <c r="B282" s="545"/>
      <c r="C282" s="546"/>
      <c r="D282" s="546"/>
      <c r="E282" s="546"/>
      <c r="F282" s="546"/>
      <c r="G282" s="546"/>
      <c r="H282" s="546"/>
      <c r="I282" s="546"/>
      <c r="J282" s="546"/>
      <c r="K282" s="546"/>
      <c r="L282" s="546"/>
      <c r="M282" s="546"/>
      <c r="N282" s="569"/>
      <c r="P282" s="257" t="s">
        <v>1182</v>
      </c>
      <c r="Q282" s="120"/>
      <c r="R282" s="120"/>
      <c r="S282" s="121"/>
      <c r="T282" s="384"/>
      <c r="U282" s="245"/>
      <c r="V282" s="245"/>
      <c r="W282" s="245"/>
      <c r="X282" s="244"/>
    </row>
    <row r="283" spans="2:24" ht="12.75">
      <c r="B283" s="545"/>
      <c r="C283" s="546"/>
      <c r="D283" s="546"/>
      <c r="E283" s="546"/>
      <c r="F283" s="546"/>
      <c r="G283" s="546"/>
      <c r="H283" s="546"/>
      <c r="I283" s="546"/>
      <c r="J283" s="546"/>
      <c r="K283" s="546"/>
      <c r="L283" s="546"/>
      <c r="M283" s="546"/>
      <c r="N283" s="569"/>
      <c r="P283" s="257" t="s">
        <v>1183</v>
      </c>
      <c r="Q283" s="120"/>
      <c r="R283" s="120"/>
      <c r="S283" s="121"/>
      <c r="T283" s="384"/>
      <c r="U283" s="245"/>
      <c r="V283" s="245"/>
      <c r="W283" s="245"/>
      <c r="X283" s="244"/>
    </row>
    <row r="284" spans="2:24" ht="12.75">
      <c r="B284" s="545"/>
      <c r="C284" s="546"/>
      <c r="D284" s="546"/>
      <c r="E284" s="546"/>
      <c r="F284" s="546"/>
      <c r="G284" s="546"/>
      <c r="H284" s="546"/>
      <c r="I284" s="546"/>
      <c r="J284" s="546"/>
      <c r="K284" s="546"/>
      <c r="L284" s="546"/>
      <c r="M284" s="546"/>
      <c r="N284" s="569"/>
      <c r="P284" s="257" t="s">
        <v>1817</v>
      </c>
      <c r="Q284" s="120"/>
      <c r="R284" s="120"/>
      <c r="S284" s="121"/>
      <c r="T284" s="384"/>
      <c r="U284" s="245"/>
      <c r="V284" s="245"/>
      <c r="W284" s="245"/>
      <c r="X284" s="244"/>
    </row>
    <row r="285" spans="2:24" ht="12.75">
      <c r="B285" s="545"/>
      <c r="C285" s="546"/>
      <c r="D285" s="546"/>
      <c r="E285" s="546"/>
      <c r="F285" s="546"/>
      <c r="G285" s="546"/>
      <c r="H285" s="546"/>
      <c r="I285" s="546"/>
      <c r="J285" s="546"/>
      <c r="K285" s="546"/>
      <c r="L285" s="546"/>
      <c r="M285" s="546"/>
      <c r="N285" s="569"/>
      <c r="P285" s="257" t="s">
        <v>2564</v>
      </c>
      <c r="Q285" s="120"/>
      <c r="R285" s="120"/>
      <c r="S285" s="121"/>
      <c r="T285" s="384"/>
      <c r="U285" s="245"/>
      <c r="V285" s="245"/>
      <c r="W285" s="245"/>
      <c r="X285" s="244"/>
    </row>
    <row r="286" spans="2:24" ht="12.75">
      <c r="B286" s="545"/>
      <c r="C286" s="546"/>
      <c r="D286" s="546"/>
      <c r="E286" s="546"/>
      <c r="F286" s="546"/>
      <c r="G286" s="546"/>
      <c r="H286" s="546"/>
      <c r="I286" s="546"/>
      <c r="J286" s="546"/>
      <c r="K286" s="546"/>
      <c r="L286" s="546"/>
      <c r="M286" s="546"/>
      <c r="N286" s="569"/>
      <c r="P286" s="257" t="s">
        <v>2565</v>
      </c>
      <c r="Q286" s="120"/>
      <c r="R286" s="120"/>
      <c r="S286" s="121"/>
      <c r="T286" s="384"/>
      <c r="U286" s="245"/>
      <c r="V286" s="245"/>
      <c r="W286" s="245"/>
      <c r="X286" s="244"/>
    </row>
    <row r="287" spans="2:24" ht="12.75">
      <c r="B287" s="545"/>
      <c r="C287" s="546"/>
      <c r="D287" s="546"/>
      <c r="E287" s="546"/>
      <c r="F287" s="546"/>
      <c r="G287" s="546"/>
      <c r="H287" s="546"/>
      <c r="I287" s="546"/>
      <c r="J287" s="546"/>
      <c r="K287" s="546"/>
      <c r="L287" s="546"/>
      <c r="M287" s="546"/>
      <c r="N287" s="569"/>
      <c r="P287" s="257" t="s">
        <v>2429</v>
      </c>
      <c r="Q287" s="120"/>
      <c r="R287" s="120"/>
      <c r="S287" s="121"/>
      <c r="T287" s="384"/>
      <c r="U287" s="245"/>
      <c r="V287" s="245"/>
      <c r="W287" s="245"/>
      <c r="X287" s="244"/>
    </row>
    <row r="288" spans="2:24" ht="12.75">
      <c r="B288" s="545"/>
      <c r="C288" s="546"/>
      <c r="D288" s="546"/>
      <c r="E288" s="546"/>
      <c r="F288" s="546"/>
      <c r="G288" s="546"/>
      <c r="H288" s="546"/>
      <c r="I288" s="546"/>
      <c r="J288" s="546"/>
      <c r="K288" s="546"/>
      <c r="L288" s="546"/>
      <c r="M288" s="546"/>
      <c r="N288" s="569"/>
      <c r="P288" s="257" t="s">
        <v>2566</v>
      </c>
      <c r="Q288" s="120"/>
      <c r="R288" s="120"/>
      <c r="S288" s="121"/>
      <c r="T288" s="384"/>
      <c r="U288" s="245"/>
      <c r="V288" s="245"/>
      <c r="W288" s="245"/>
      <c r="X288" s="244"/>
    </row>
    <row r="289" spans="2:24" ht="12.75">
      <c r="B289" s="545"/>
      <c r="C289" s="546"/>
      <c r="D289" s="546"/>
      <c r="E289" s="546"/>
      <c r="F289" s="546"/>
      <c r="G289" s="546"/>
      <c r="H289" s="546"/>
      <c r="I289" s="546"/>
      <c r="J289" s="546"/>
      <c r="K289" s="546"/>
      <c r="L289" s="546"/>
      <c r="M289" s="546"/>
      <c r="N289" s="569"/>
      <c r="P289" s="257" t="s">
        <v>2567</v>
      </c>
      <c r="Q289" s="120"/>
      <c r="R289" s="120"/>
      <c r="S289" s="121"/>
      <c r="T289" s="384"/>
      <c r="U289" s="245"/>
      <c r="V289" s="245"/>
      <c r="W289" s="245"/>
      <c r="X289" s="244"/>
    </row>
    <row r="290" spans="2:24" ht="12.75">
      <c r="B290" s="545"/>
      <c r="C290" s="546"/>
      <c r="D290" s="546"/>
      <c r="E290" s="546"/>
      <c r="F290" s="546"/>
      <c r="G290" s="546"/>
      <c r="H290" s="546"/>
      <c r="I290" s="546"/>
      <c r="J290" s="546"/>
      <c r="K290" s="546"/>
      <c r="L290" s="546"/>
      <c r="M290" s="546"/>
      <c r="N290" s="569"/>
      <c r="P290" s="257" t="s">
        <v>2568</v>
      </c>
      <c r="Q290" s="120"/>
      <c r="R290" s="120"/>
      <c r="S290" s="121"/>
      <c r="T290" s="384"/>
      <c r="U290" s="245"/>
      <c r="V290" s="245"/>
      <c r="W290" s="245"/>
      <c r="X290" s="244"/>
    </row>
    <row r="291" spans="2:24" ht="13.5" thickBot="1">
      <c r="B291" s="547"/>
      <c r="C291" s="548"/>
      <c r="D291" s="548"/>
      <c r="E291" s="548"/>
      <c r="F291" s="548"/>
      <c r="G291" s="548"/>
      <c r="H291" s="548"/>
      <c r="I291" s="548"/>
      <c r="J291" s="548"/>
      <c r="K291" s="548"/>
      <c r="L291" s="548"/>
      <c r="M291" s="548"/>
      <c r="N291" s="531"/>
      <c r="P291" s="263" t="s">
        <v>1693</v>
      </c>
      <c r="Q291" s="159"/>
      <c r="R291" s="159"/>
      <c r="S291" s="225"/>
      <c r="T291" s="329"/>
      <c r="U291" s="241"/>
      <c r="V291" s="241"/>
      <c r="W291" s="241"/>
      <c r="X291" s="239"/>
    </row>
    <row r="293" ht="13.5" thickBot="1"/>
    <row r="294" spans="2:30" ht="12.75">
      <c r="B294" s="425" t="s">
        <v>2538</v>
      </c>
      <c r="C294" s="261"/>
      <c r="D294" s="261"/>
      <c r="E294" s="261"/>
      <c r="F294" s="261"/>
      <c r="G294" s="261"/>
      <c r="H294" s="261"/>
      <c r="I294" s="261"/>
      <c r="J294" s="261"/>
      <c r="K294" s="260"/>
      <c r="L294" s="164"/>
      <c r="M294" s="425" t="s">
        <v>2539</v>
      </c>
      <c r="N294" s="261"/>
      <c r="O294" s="261"/>
      <c r="P294" s="261"/>
      <c r="Q294" s="261"/>
      <c r="R294" s="261"/>
      <c r="S294" s="261"/>
      <c r="T294" s="261"/>
      <c r="U294" s="261"/>
      <c r="V294" s="260"/>
      <c r="X294"/>
      <c r="Y294"/>
      <c r="Z294"/>
      <c r="AA294"/>
      <c r="AB294"/>
      <c r="AC294"/>
      <c r="AD294"/>
    </row>
    <row r="295" spans="2:30" ht="12.75">
      <c r="B295" s="265" t="s">
        <v>2440</v>
      </c>
      <c r="C295" s="256"/>
      <c r="D295" s="256" t="s">
        <v>2441</v>
      </c>
      <c r="E295" s="256"/>
      <c r="F295" s="256"/>
      <c r="G295" s="256"/>
      <c r="H295" s="256"/>
      <c r="I295" s="256"/>
      <c r="J295" s="356" t="s">
        <v>2442</v>
      </c>
      <c r="K295" s="258" t="s">
        <v>2431</v>
      </c>
      <c r="L295" s="164"/>
      <c r="M295" s="265" t="s">
        <v>2440</v>
      </c>
      <c r="N295" s="256"/>
      <c r="O295" s="256" t="s">
        <v>2441</v>
      </c>
      <c r="P295" s="256"/>
      <c r="Q295" s="256"/>
      <c r="R295" s="256"/>
      <c r="S295" s="256"/>
      <c r="T295" s="256"/>
      <c r="U295" s="356" t="s">
        <v>2442</v>
      </c>
      <c r="V295" s="258" t="s">
        <v>2431</v>
      </c>
      <c r="X295"/>
      <c r="Y295"/>
      <c r="Z295"/>
      <c r="AA295"/>
      <c r="AB295"/>
      <c r="AC295"/>
      <c r="AD295"/>
    </row>
    <row r="296" spans="1:30" ht="12.75">
      <c r="A296" s="41">
        <v>1</v>
      </c>
      <c r="B296" s="230"/>
      <c r="C296" s="512"/>
      <c r="D296" s="512"/>
      <c r="E296" s="512"/>
      <c r="F296" s="512"/>
      <c r="G296" s="512"/>
      <c r="H296" s="512"/>
      <c r="I296" s="512"/>
      <c r="J296" s="121"/>
      <c r="K296" s="160">
        <f>IF(J296&lt;&gt;0,J296,"")</f>
      </c>
      <c r="L296" s="164">
        <v>1</v>
      </c>
      <c r="M296" s="230"/>
      <c r="N296" s="378"/>
      <c r="O296" s="378"/>
      <c r="P296" s="378"/>
      <c r="Q296" s="378"/>
      <c r="R296" s="378"/>
      <c r="S296" s="378"/>
      <c r="T296" s="378"/>
      <c r="U296" s="121"/>
      <c r="V296" s="160">
        <f>IF(U296&lt;&gt;0,U296,"")</f>
      </c>
      <c r="X296"/>
      <c r="Y296"/>
      <c r="Z296"/>
      <c r="AA296"/>
      <c r="AB296"/>
      <c r="AC296"/>
      <c r="AD296"/>
    </row>
    <row r="297" spans="1:30" ht="12.75">
      <c r="A297" s="41">
        <v>2</v>
      </c>
      <c r="B297" s="230"/>
      <c r="C297" s="512"/>
      <c r="D297" s="512"/>
      <c r="E297" s="512"/>
      <c r="F297" s="512"/>
      <c r="G297" s="512"/>
      <c r="H297" s="512"/>
      <c r="I297" s="512"/>
      <c r="J297" s="121"/>
      <c r="K297" s="160">
        <f aca="true" t="shared" si="21" ref="K297:K325">IF(J297&lt;&gt;0,J297+K296,"")</f>
      </c>
      <c r="L297" s="164">
        <v>2</v>
      </c>
      <c r="M297" s="230"/>
      <c r="N297" s="378"/>
      <c r="O297" s="378"/>
      <c r="P297" s="378"/>
      <c r="Q297" s="378"/>
      <c r="R297" s="378"/>
      <c r="S297" s="378"/>
      <c r="T297" s="378"/>
      <c r="U297" s="121"/>
      <c r="V297" s="160"/>
      <c r="X297"/>
      <c r="Y297"/>
      <c r="Z297"/>
      <c r="AA297"/>
      <c r="AB297"/>
      <c r="AC297"/>
      <c r="AD297"/>
    </row>
    <row r="298" spans="1:30" ht="12.75">
      <c r="A298" s="41">
        <v>3</v>
      </c>
      <c r="B298" s="230"/>
      <c r="C298" s="512"/>
      <c r="D298" s="512"/>
      <c r="E298" s="512"/>
      <c r="F298" s="512"/>
      <c r="G298" s="512"/>
      <c r="H298" s="512"/>
      <c r="I298" s="512"/>
      <c r="J298" s="121"/>
      <c r="K298" s="160">
        <f t="shared" si="21"/>
      </c>
      <c r="L298" s="164">
        <v>3</v>
      </c>
      <c r="M298" s="230"/>
      <c r="N298" s="378"/>
      <c r="O298" s="378"/>
      <c r="P298" s="378"/>
      <c r="Q298" s="378"/>
      <c r="R298" s="378"/>
      <c r="S298" s="378"/>
      <c r="T298" s="378"/>
      <c r="U298" s="121"/>
      <c r="V298" s="160"/>
      <c r="X298"/>
      <c r="Y298"/>
      <c r="Z298"/>
      <c r="AA298"/>
      <c r="AB298"/>
      <c r="AC298"/>
      <c r="AD298"/>
    </row>
    <row r="299" spans="1:30" ht="12.75">
      <c r="A299" s="41">
        <v>4</v>
      </c>
      <c r="B299" s="230"/>
      <c r="C299" s="512"/>
      <c r="D299" s="512"/>
      <c r="E299" s="512"/>
      <c r="F299" s="512"/>
      <c r="G299" s="512"/>
      <c r="H299" s="512"/>
      <c r="I299" s="512"/>
      <c r="J299" s="121"/>
      <c r="K299" s="160">
        <f t="shared" si="21"/>
      </c>
      <c r="L299" s="164">
        <v>4</v>
      </c>
      <c r="M299" s="230"/>
      <c r="N299" s="378"/>
      <c r="O299" s="378"/>
      <c r="P299" s="378"/>
      <c r="Q299" s="378"/>
      <c r="R299" s="378"/>
      <c r="S299" s="378"/>
      <c r="T299" s="378"/>
      <c r="U299" s="121"/>
      <c r="V299" s="160"/>
      <c r="X299"/>
      <c r="Y299"/>
      <c r="Z299"/>
      <c r="AA299"/>
      <c r="AB299"/>
      <c r="AC299"/>
      <c r="AD299"/>
    </row>
    <row r="300" spans="1:30" ht="12.75">
      <c r="A300" s="41">
        <v>5</v>
      </c>
      <c r="B300" s="230"/>
      <c r="C300" s="512"/>
      <c r="D300" s="512"/>
      <c r="E300" s="512"/>
      <c r="F300" s="512"/>
      <c r="G300" s="512"/>
      <c r="H300" s="512"/>
      <c r="I300" s="512"/>
      <c r="J300" s="121"/>
      <c r="K300" s="160">
        <f t="shared" si="21"/>
      </c>
      <c r="L300" s="164">
        <v>5</v>
      </c>
      <c r="M300" s="230"/>
      <c r="N300" s="378"/>
      <c r="O300" s="378"/>
      <c r="P300" s="378"/>
      <c r="Q300" s="378"/>
      <c r="R300" s="378"/>
      <c r="S300" s="378"/>
      <c r="T300" s="378"/>
      <c r="U300" s="121"/>
      <c r="V300" s="160">
        <f aca="true" t="shared" si="22" ref="V300:V332">IF(U300&lt;&gt;0,U300+V299,"")</f>
      </c>
      <c r="X300"/>
      <c r="Y300"/>
      <c r="Z300"/>
      <c r="AA300"/>
      <c r="AB300"/>
      <c r="AC300"/>
      <c r="AD300"/>
    </row>
    <row r="301" spans="1:30" ht="12.75">
      <c r="A301" s="41">
        <v>6</v>
      </c>
      <c r="B301" s="230"/>
      <c r="C301" s="512"/>
      <c r="D301" s="512"/>
      <c r="E301" s="512"/>
      <c r="F301" s="512"/>
      <c r="G301" s="512"/>
      <c r="H301" s="512"/>
      <c r="I301" s="512"/>
      <c r="J301" s="121"/>
      <c r="K301" s="160">
        <f t="shared" si="21"/>
      </c>
      <c r="L301" s="164">
        <v>6</v>
      </c>
      <c r="M301" s="230"/>
      <c r="N301" s="378"/>
      <c r="O301" s="378"/>
      <c r="P301" s="378"/>
      <c r="Q301" s="378"/>
      <c r="R301" s="378"/>
      <c r="S301" s="378"/>
      <c r="T301" s="378"/>
      <c r="U301" s="121"/>
      <c r="V301" s="160">
        <f t="shared" si="22"/>
      </c>
      <c r="X301"/>
      <c r="Y301"/>
      <c r="Z301"/>
      <c r="AA301"/>
      <c r="AB301"/>
      <c r="AC301"/>
      <c r="AD301"/>
    </row>
    <row r="302" spans="1:30" ht="12.75">
      <c r="A302" s="41">
        <v>7</v>
      </c>
      <c r="B302" s="230"/>
      <c r="C302" s="512"/>
      <c r="D302" s="512"/>
      <c r="E302" s="512"/>
      <c r="F302" s="512"/>
      <c r="G302" s="512"/>
      <c r="H302" s="512"/>
      <c r="I302" s="512"/>
      <c r="J302" s="121"/>
      <c r="K302" s="160">
        <f t="shared" si="21"/>
      </c>
      <c r="L302" s="164">
        <v>7</v>
      </c>
      <c r="M302" s="230"/>
      <c r="N302" s="378"/>
      <c r="O302" s="378"/>
      <c r="P302" s="378"/>
      <c r="Q302" s="378"/>
      <c r="R302" s="378"/>
      <c r="S302" s="378"/>
      <c r="T302" s="378"/>
      <c r="U302" s="121"/>
      <c r="V302" s="160">
        <f t="shared" si="22"/>
      </c>
      <c r="X302"/>
      <c r="Y302"/>
      <c r="Z302"/>
      <c r="AA302"/>
      <c r="AB302"/>
      <c r="AC302"/>
      <c r="AD302"/>
    </row>
    <row r="303" spans="1:30" ht="12.75">
      <c r="A303" s="41">
        <v>8</v>
      </c>
      <c r="B303" s="230"/>
      <c r="C303" s="512"/>
      <c r="D303" s="512"/>
      <c r="E303" s="512"/>
      <c r="F303" s="512"/>
      <c r="G303" s="512"/>
      <c r="H303" s="512"/>
      <c r="I303" s="512"/>
      <c r="J303" s="121"/>
      <c r="K303" s="160">
        <f t="shared" si="21"/>
      </c>
      <c r="L303" s="164">
        <v>8</v>
      </c>
      <c r="M303" s="230"/>
      <c r="N303" s="378"/>
      <c r="O303" s="378"/>
      <c r="P303" s="378"/>
      <c r="Q303" s="378"/>
      <c r="R303" s="378"/>
      <c r="S303" s="378"/>
      <c r="T303" s="378"/>
      <c r="U303" s="121"/>
      <c r="V303" s="160">
        <f t="shared" si="22"/>
      </c>
      <c r="X303"/>
      <c r="Y303"/>
      <c r="Z303"/>
      <c r="AA303"/>
      <c r="AB303"/>
      <c r="AC303"/>
      <c r="AD303"/>
    </row>
    <row r="304" spans="1:30" ht="12.75">
      <c r="A304" s="41">
        <v>9</v>
      </c>
      <c r="B304" s="230"/>
      <c r="C304" s="512"/>
      <c r="D304" s="512"/>
      <c r="E304" s="512"/>
      <c r="F304" s="512"/>
      <c r="G304" s="512"/>
      <c r="H304" s="512"/>
      <c r="I304" s="512"/>
      <c r="J304" s="121"/>
      <c r="K304" s="160">
        <f t="shared" si="21"/>
      </c>
      <c r="L304" s="164">
        <v>9</v>
      </c>
      <c r="M304" s="230"/>
      <c r="N304" s="378"/>
      <c r="O304" s="378"/>
      <c r="P304" s="378"/>
      <c r="Q304" s="378"/>
      <c r="R304" s="378"/>
      <c r="S304" s="378"/>
      <c r="T304" s="378"/>
      <c r="U304" s="121"/>
      <c r="V304" s="160">
        <f t="shared" si="22"/>
      </c>
      <c r="X304"/>
      <c r="Y304"/>
      <c r="Z304"/>
      <c r="AA304"/>
      <c r="AB304"/>
      <c r="AC304"/>
      <c r="AD304"/>
    </row>
    <row r="305" spans="1:30" ht="12.75">
      <c r="A305" s="41">
        <v>10</v>
      </c>
      <c r="B305" s="230"/>
      <c r="C305" s="512"/>
      <c r="D305" s="512"/>
      <c r="E305" s="512"/>
      <c r="F305" s="512"/>
      <c r="G305" s="512"/>
      <c r="H305" s="512"/>
      <c r="I305" s="512"/>
      <c r="J305" s="121"/>
      <c r="K305" s="160">
        <f t="shared" si="21"/>
      </c>
      <c r="L305" s="164">
        <v>10</v>
      </c>
      <c r="M305" s="230"/>
      <c r="N305" s="378"/>
      <c r="O305" s="378"/>
      <c r="P305" s="378"/>
      <c r="Q305" s="378"/>
      <c r="R305" s="378"/>
      <c r="S305" s="378"/>
      <c r="T305" s="378"/>
      <c r="U305" s="121"/>
      <c r="V305" s="160">
        <f t="shared" si="22"/>
      </c>
      <c r="X305"/>
      <c r="Y305"/>
      <c r="Z305"/>
      <c r="AA305"/>
      <c r="AB305"/>
      <c r="AC305"/>
      <c r="AD305"/>
    </row>
    <row r="306" spans="1:30" ht="12.75">
      <c r="A306" s="41">
        <v>11</v>
      </c>
      <c r="B306" s="230"/>
      <c r="C306" s="512"/>
      <c r="D306" s="512"/>
      <c r="E306" s="512"/>
      <c r="F306" s="512"/>
      <c r="G306" s="512"/>
      <c r="H306" s="512"/>
      <c r="I306" s="512"/>
      <c r="J306" s="121"/>
      <c r="K306" s="160">
        <f t="shared" si="21"/>
      </c>
      <c r="L306" s="164">
        <v>11</v>
      </c>
      <c r="M306" s="230"/>
      <c r="N306" s="378"/>
      <c r="O306" s="378"/>
      <c r="P306" s="378"/>
      <c r="Q306" s="378"/>
      <c r="R306" s="378"/>
      <c r="S306" s="378"/>
      <c r="T306" s="378"/>
      <c r="U306" s="121"/>
      <c r="V306" s="160">
        <f t="shared" si="22"/>
      </c>
      <c r="X306"/>
      <c r="Y306"/>
      <c r="Z306"/>
      <c r="AA306"/>
      <c r="AB306"/>
      <c r="AC306"/>
      <c r="AD306"/>
    </row>
    <row r="307" spans="1:30" ht="12.75">
      <c r="A307" s="41">
        <v>12</v>
      </c>
      <c r="B307" s="230"/>
      <c r="C307" s="512"/>
      <c r="D307" s="512"/>
      <c r="E307" s="512"/>
      <c r="F307" s="512"/>
      <c r="G307" s="512"/>
      <c r="H307" s="512"/>
      <c r="I307" s="512"/>
      <c r="J307" s="121"/>
      <c r="K307" s="160">
        <f t="shared" si="21"/>
      </c>
      <c r="L307" s="164">
        <v>12</v>
      </c>
      <c r="M307" s="230"/>
      <c r="N307" s="378"/>
      <c r="O307" s="378"/>
      <c r="P307" s="378"/>
      <c r="Q307" s="378"/>
      <c r="R307" s="378"/>
      <c r="S307" s="378"/>
      <c r="T307" s="378"/>
      <c r="U307" s="121"/>
      <c r="V307" s="160">
        <f t="shared" si="22"/>
      </c>
      <c r="X307"/>
      <c r="Y307"/>
      <c r="Z307"/>
      <c r="AA307"/>
      <c r="AB307"/>
      <c r="AC307"/>
      <c r="AD307"/>
    </row>
    <row r="308" spans="1:30" ht="12.75">
      <c r="A308" s="41">
        <v>13</v>
      </c>
      <c r="B308" s="230"/>
      <c r="C308" s="512"/>
      <c r="D308" s="512"/>
      <c r="E308" s="512"/>
      <c r="F308" s="512"/>
      <c r="G308" s="512"/>
      <c r="H308" s="512"/>
      <c r="I308" s="512"/>
      <c r="J308" s="121"/>
      <c r="K308" s="160">
        <f t="shared" si="21"/>
      </c>
      <c r="L308" s="164">
        <v>13</v>
      </c>
      <c r="M308" s="230"/>
      <c r="N308" s="378"/>
      <c r="O308" s="378"/>
      <c r="P308" s="378"/>
      <c r="Q308" s="378"/>
      <c r="R308" s="378"/>
      <c r="S308" s="378"/>
      <c r="T308" s="378"/>
      <c r="U308" s="121"/>
      <c r="V308" s="160">
        <f t="shared" si="22"/>
      </c>
      <c r="X308"/>
      <c r="Y308"/>
      <c r="Z308"/>
      <c r="AA308"/>
      <c r="AB308"/>
      <c r="AC308"/>
      <c r="AD308"/>
    </row>
    <row r="309" spans="1:30" ht="12.75">
      <c r="A309" s="41">
        <v>14</v>
      </c>
      <c r="B309" s="230"/>
      <c r="C309" s="512"/>
      <c r="D309" s="512"/>
      <c r="E309" s="512"/>
      <c r="F309" s="512"/>
      <c r="G309" s="512"/>
      <c r="H309" s="512"/>
      <c r="I309" s="512"/>
      <c r="J309" s="121"/>
      <c r="K309" s="160">
        <f t="shared" si="21"/>
      </c>
      <c r="L309" s="164">
        <v>14</v>
      </c>
      <c r="M309" s="230"/>
      <c r="N309" s="378"/>
      <c r="O309" s="378"/>
      <c r="P309" s="378"/>
      <c r="Q309" s="378"/>
      <c r="R309" s="378"/>
      <c r="S309" s="378"/>
      <c r="T309" s="378"/>
      <c r="U309" s="121"/>
      <c r="V309" s="160">
        <f t="shared" si="22"/>
      </c>
      <c r="X309"/>
      <c r="Y309"/>
      <c r="Z309"/>
      <c r="AA309"/>
      <c r="AB309"/>
      <c r="AC309"/>
      <c r="AD309"/>
    </row>
    <row r="310" spans="1:30" ht="12.75">
      <c r="A310" s="41">
        <v>15</v>
      </c>
      <c r="B310" s="230"/>
      <c r="C310" s="512"/>
      <c r="D310" s="512"/>
      <c r="E310" s="512"/>
      <c r="F310" s="512"/>
      <c r="G310" s="512"/>
      <c r="H310" s="512"/>
      <c r="I310" s="512"/>
      <c r="J310" s="121"/>
      <c r="K310" s="160">
        <f t="shared" si="21"/>
      </c>
      <c r="L310" s="164">
        <v>15</v>
      </c>
      <c r="M310" s="230"/>
      <c r="N310" s="378"/>
      <c r="O310" s="378"/>
      <c r="P310" s="378"/>
      <c r="Q310" s="378"/>
      <c r="R310" s="378"/>
      <c r="S310" s="378"/>
      <c r="T310" s="378"/>
      <c r="U310" s="121"/>
      <c r="V310" s="160">
        <f t="shared" si="22"/>
      </c>
      <c r="X310"/>
      <c r="Y310"/>
      <c r="Z310"/>
      <c r="AA310"/>
      <c r="AB310"/>
      <c r="AC310"/>
      <c r="AD310"/>
    </row>
    <row r="311" spans="1:30" ht="12.75">
      <c r="A311" s="41">
        <v>16</v>
      </c>
      <c r="B311" s="230"/>
      <c r="C311" s="512"/>
      <c r="D311" s="512"/>
      <c r="E311" s="512"/>
      <c r="F311" s="512"/>
      <c r="G311" s="512"/>
      <c r="H311" s="512"/>
      <c r="I311" s="512"/>
      <c r="J311" s="121"/>
      <c r="K311" s="160">
        <f t="shared" si="21"/>
      </c>
      <c r="L311" s="164">
        <v>16</v>
      </c>
      <c r="M311" s="230"/>
      <c r="N311" s="378"/>
      <c r="O311" s="378"/>
      <c r="P311" s="378"/>
      <c r="Q311" s="378"/>
      <c r="R311" s="378"/>
      <c r="S311" s="378"/>
      <c r="T311" s="378"/>
      <c r="U311" s="121"/>
      <c r="V311" s="160">
        <f t="shared" si="22"/>
      </c>
      <c r="X311"/>
      <c r="Y311"/>
      <c r="Z311"/>
      <c r="AA311"/>
      <c r="AB311"/>
      <c r="AC311"/>
      <c r="AD311"/>
    </row>
    <row r="312" spans="1:30" ht="12.75">
      <c r="A312" s="41">
        <v>17</v>
      </c>
      <c r="B312" s="230"/>
      <c r="C312" s="512"/>
      <c r="D312" s="512"/>
      <c r="E312" s="512"/>
      <c r="F312" s="512"/>
      <c r="G312" s="512"/>
      <c r="H312" s="512"/>
      <c r="I312" s="512"/>
      <c r="J312" s="121"/>
      <c r="K312" s="160">
        <f t="shared" si="21"/>
      </c>
      <c r="L312" s="164">
        <v>17</v>
      </c>
      <c r="M312" s="230"/>
      <c r="N312" s="378"/>
      <c r="O312" s="378"/>
      <c r="P312" s="378"/>
      <c r="Q312" s="378"/>
      <c r="R312" s="378"/>
      <c r="S312" s="378"/>
      <c r="T312" s="378"/>
      <c r="U312" s="121"/>
      <c r="V312" s="160">
        <f t="shared" si="22"/>
      </c>
      <c r="X312"/>
      <c r="Y312"/>
      <c r="Z312"/>
      <c r="AA312"/>
      <c r="AB312"/>
      <c r="AC312"/>
      <c r="AD312"/>
    </row>
    <row r="313" spans="1:30" ht="12.75">
      <c r="A313" s="41">
        <v>18</v>
      </c>
      <c r="B313" s="230"/>
      <c r="C313" s="512"/>
      <c r="D313" s="512"/>
      <c r="E313" s="512"/>
      <c r="F313" s="512"/>
      <c r="G313" s="512"/>
      <c r="H313" s="512"/>
      <c r="I313" s="512"/>
      <c r="J313" s="121"/>
      <c r="K313" s="160">
        <f t="shared" si="21"/>
      </c>
      <c r="L313" s="164">
        <v>18</v>
      </c>
      <c r="M313" s="230"/>
      <c r="N313" s="378"/>
      <c r="O313" s="378"/>
      <c r="P313" s="378"/>
      <c r="Q313" s="378"/>
      <c r="R313" s="378"/>
      <c r="S313" s="378"/>
      <c r="T313" s="378"/>
      <c r="U313" s="121"/>
      <c r="V313" s="160">
        <f t="shared" si="22"/>
      </c>
      <c r="X313"/>
      <c r="Y313"/>
      <c r="Z313"/>
      <c r="AA313"/>
      <c r="AB313"/>
      <c r="AC313"/>
      <c r="AD313"/>
    </row>
    <row r="314" spans="1:30" ht="12.75">
      <c r="A314" s="41">
        <v>19</v>
      </c>
      <c r="B314" s="230"/>
      <c r="C314" s="512"/>
      <c r="D314" s="512"/>
      <c r="E314" s="512"/>
      <c r="F314" s="512"/>
      <c r="G314" s="512"/>
      <c r="H314" s="512"/>
      <c r="I314" s="512"/>
      <c r="J314" s="121"/>
      <c r="K314" s="160">
        <f t="shared" si="21"/>
      </c>
      <c r="L314" s="164">
        <v>19</v>
      </c>
      <c r="M314" s="230"/>
      <c r="N314" s="378"/>
      <c r="O314" s="378"/>
      <c r="P314" s="378"/>
      <c r="Q314" s="378"/>
      <c r="R314" s="378"/>
      <c r="S314" s="378"/>
      <c r="T314" s="378"/>
      <c r="U314" s="121"/>
      <c r="V314" s="160">
        <f t="shared" si="22"/>
      </c>
      <c r="X314"/>
      <c r="Y314"/>
      <c r="Z314"/>
      <c r="AA314"/>
      <c r="AB314"/>
      <c r="AC314"/>
      <c r="AD314"/>
    </row>
    <row r="315" spans="1:30" ht="12.75">
      <c r="A315" s="41">
        <v>20</v>
      </c>
      <c r="B315" s="230"/>
      <c r="C315" s="512"/>
      <c r="D315" s="512"/>
      <c r="E315" s="512"/>
      <c r="F315" s="512"/>
      <c r="G315" s="512"/>
      <c r="H315" s="512"/>
      <c r="I315" s="512"/>
      <c r="J315" s="121"/>
      <c r="K315" s="160">
        <f t="shared" si="21"/>
      </c>
      <c r="L315" s="164">
        <v>20</v>
      </c>
      <c r="M315" s="230"/>
      <c r="N315" s="378"/>
      <c r="O315" s="378"/>
      <c r="P315" s="378"/>
      <c r="Q315" s="378"/>
      <c r="R315" s="378"/>
      <c r="S315" s="378"/>
      <c r="T315" s="378"/>
      <c r="U315" s="121"/>
      <c r="V315" s="160">
        <f t="shared" si="22"/>
      </c>
      <c r="X315"/>
      <c r="Y315"/>
      <c r="Z315"/>
      <c r="AA315"/>
      <c r="AB315"/>
      <c r="AC315"/>
      <c r="AD315"/>
    </row>
    <row r="316" spans="1:30" ht="12.75">
      <c r="A316" s="41">
        <v>21</v>
      </c>
      <c r="B316" s="230"/>
      <c r="C316" s="512"/>
      <c r="D316" s="512"/>
      <c r="E316" s="512"/>
      <c r="F316" s="512"/>
      <c r="G316" s="512"/>
      <c r="H316" s="512"/>
      <c r="I316" s="512"/>
      <c r="J316" s="121"/>
      <c r="K316" s="160">
        <f t="shared" si="21"/>
      </c>
      <c r="L316" s="164">
        <v>21</v>
      </c>
      <c r="M316" s="230"/>
      <c r="N316" s="378"/>
      <c r="O316" s="378"/>
      <c r="P316" s="378"/>
      <c r="Q316" s="378"/>
      <c r="R316" s="378"/>
      <c r="S316" s="378"/>
      <c r="T316" s="378"/>
      <c r="U316" s="121"/>
      <c r="V316" s="160">
        <f t="shared" si="22"/>
      </c>
      <c r="X316"/>
      <c r="Y316"/>
      <c r="Z316"/>
      <c r="AA316"/>
      <c r="AB316"/>
      <c r="AC316"/>
      <c r="AD316"/>
    </row>
    <row r="317" spans="1:30" ht="12.75">
      <c r="A317" s="41">
        <v>22</v>
      </c>
      <c r="B317" s="230"/>
      <c r="C317" s="512"/>
      <c r="D317" s="512"/>
      <c r="E317" s="512"/>
      <c r="F317" s="512"/>
      <c r="G317" s="512"/>
      <c r="H317" s="512"/>
      <c r="I317" s="512"/>
      <c r="J317" s="121"/>
      <c r="K317" s="160">
        <f t="shared" si="21"/>
      </c>
      <c r="L317" s="164">
        <v>22</v>
      </c>
      <c r="M317" s="230"/>
      <c r="N317" s="378"/>
      <c r="O317" s="378"/>
      <c r="P317" s="378"/>
      <c r="Q317" s="378"/>
      <c r="R317" s="378"/>
      <c r="S317" s="378"/>
      <c r="T317" s="378"/>
      <c r="U317" s="121"/>
      <c r="V317" s="160">
        <f t="shared" si="22"/>
      </c>
      <c r="X317"/>
      <c r="Y317"/>
      <c r="Z317"/>
      <c r="AA317"/>
      <c r="AB317"/>
      <c r="AC317"/>
      <c r="AD317"/>
    </row>
    <row r="318" spans="1:30" ht="12.75">
      <c r="A318" s="41">
        <v>23</v>
      </c>
      <c r="B318" s="230"/>
      <c r="C318" s="512"/>
      <c r="D318" s="512"/>
      <c r="E318" s="512"/>
      <c r="F318" s="512"/>
      <c r="G318" s="512"/>
      <c r="H318" s="512"/>
      <c r="I318" s="512"/>
      <c r="J318" s="121"/>
      <c r="K318" s="160">
        <f t="shared" si="21"/>
      </c>
      <c r="L318" s="164">
        <v>23</v>
      </c>
      <c r="M318" s="230"/>
      <c r="N318" s="378"/>
      <c r="O318" s="378"/>
      <c r="P318" s="378"/>
      <c r="Q318" s="378"/>
      <c r="R318" s="378"/>
      <c r="S318" s="378"/>
      <c r="T318" s="378"/>
      <c r="U318" s="121"/>
      <c r="V318" s="160">
        <f t="shared" si="22"/>
      </c>
      <c r="X318"/>
      <c r="Y318"/>
      <c r="Z318"/>
      <c r="AA318"/>
      <c r="AB318"/>
      <c r="AC318"/>
      <c r="AD318"/>
    </row>
    <row r="319" spans="1:30" ht="12.75">
      <c r="A319" s="41">
        <v>24</v>
      </c>
      <c r="B319" s="230"/>
      <c r="C319" s="512"/>
      <c r="D319" s="512"/>
      <c r="E319" s="512"/>
      <c r="F319" s="512"/>
      <c r="G319" s="512"/>
      <c r="H319" s="512"/>
      <c r="I319" s="512"/>
      <c r="J319" s="121"/>
      <c r="K319" s="160">
        <f t="shared" si="21"/>
      </c>
      <c r="L319" s="164">
        <v>24</v>
      </c>
      <c r="M319" s="230"/>
      <c r="N319" s="378"/>
      <c r="O319" s="378"/>
      <c r="P319" s="378"/>
      <c r="Q319" s="378"/>
      <c r="R319" s="378"/>
      <c r="S319" s="378"/>
      <c r="T319" s="378"/>
      <c r="U319" s="121"/>
      <c r="V319" s="160">
        <f t="shared" si="22"/>
      </c>
      <c r="X319"/>
      <c r="Y319"/>
      <c r="Z319"/>
      <c r="AA319"/>
      <c r="AB319"/>
      <c r="AC319"/>
      <c r="AD319"/>
    </row>
    <row r="320" spans="1:30" ht="12.75">
      <c r="A320" s="41">
        <v>25</v>
      </c>
      <c r="B320" s="230"/>
      <c r="C320" s="512"/>
      <c r="D320" s="512"/>
      <c r="E320" s="512"/>
      <c r="F320" s="512"/>
      <c r="G320" s="512"/>
      <c r="H320" s="512"/>
      <c r="I320" s="512"/>
      <c r="J320" s="121"/>
      <c r="K320" s="160">
        <f t="shared" si="21"/>
      </c>
      <c r="L320" s="164">
        <v>25</v>
      </c>
      <c r="M320" s="230"/>
      <c r="N320" s="378"/>
      <c r="O320" s="378"/>
      <c r="P320" s="378"/>
      <c r="Q320" s="378"/>
      <c r="R320" s="378"/>
      <c r="S320" s="378"/>
      <c r="T320" s="378"/>
      <c r="U320" s="121"/>
      <c r="V320" s="160">
        <f t="shared" si="22"/>
      </c>
      <c r="X320"/>
      <c r="Y320"/>
      <c r="Z320"/>
      <c r="AA320"/>
      <c r="AB320"/>
      <c r="AC320"/>
      <c r="AD320"/>
    </row>
    <row r="321" spans="1:30" ht="12.75">
      <c r="A321" s="41">
        <v>26</v>
      </c>
      <c r="B321" s="230"/>
      <c r="C321" s="512"/>
      <c r="D321" s="512"/>
      <c r="E321" s="512"/>
      <c r="F321" s="512"/>
      <c r="G321" s="512"/>
      <c r="H321" s="512"/>
      <c r="I321" s="512"/>
      <c r="J321" s="121"/>
      <c r="K321" s="160">
        <f t="shared" si="21"/>
      </c>
      <c r="L321" s="164">
        <v>26</v>
      </c>
      <c r="M321" s="230"/>
      <c r="N321" s="378"/>
      <c r="O321" s="378"/>
      <c r="P321" s="378"/>
      <c r="Q321" s="378"/>
      <c r="R321" s="378"/>
      <c r="S321" s="378"/>
      <c r="T321" s="378"/>
      <c r="U321" s="121"/>
      <c r="V321" s="160">
        <f t="shared" si="22"/>
      </c>
      <c r="X321"/>
      <c r="Y321"/>
      <c r="Z321"/>
      <c r="AA321"/>
      <c r="AB321"/>
      <c r="AC321"/>
      <c r="AD321"/>
    </row>
    <row r="322" spans="1:30" ht="12.75">
      <c r="A322" s="41">
        <v>27</v>
      </c>
      <c r="B322" s="230"/>
      <c r="C322" s="512"/>
      <c r="D322" s="512"/>
      <c r="E322" s="512"/>
      <c r="F322" s="512"/>
      <c r="G322" s="512"/>
      <c r="H322" s="512"/>
      <c r="I322" s="512"/>
      <c r="J322" s="121"/>
      <c r="K322" s="160">
        <f t="shared" si="21"/>
      </c>
      <c r="L322" s="164">
        <v>27</v>
      </c>
      <c r="M322" s="230"/>
      <c r="N322" s="378"/>
      <c r="O322" s="378"/>
      <c r="P322" s="378"/>
      <c r="Q322" s="378"/>
      <c r="R322" s="378"/>
      <c r="S322" s="378"/>
      <c r="T322" s="378"/>
      <c r="U322" s="121"/>
      <c r="V322" s="160">
        <f t="shared" si="22"/>
      </c>
      <c r="X322"/>
      <c r="Y322"/>
      <c r="Z322"/>
      <c r="AA322"/>
      <c r="AB322"/>
      <c r="AC322"/>
      <c r="AD322"/>
    </row>
    <row r="323" spans="1:30" ht="12.75">
      <c r="A323" s="41">
        <v>28</v>
      </c>
      <c r="B323" s="230"/>
      <c r="C323" s="512"/>
      <c r="D323" s="512"/>
      <c r="E323" s="512"/>
      <c r="F323" s="512"/>
      <c r="G323" s="512"/>
      <c r="H323" s="512"/>
      <c r="I323" s="512"/>
      <c r="J323" s="121"/>
      <c r="K323" s="160">
        <f t="shared" si="21"/>
      </c>
      <c r="L323" s="164">
        <v>28</v>
      </c>
      <c r="M323" s="230"/>
      <c r="N323" s="378"/>
      <c r="O323" s="378"/>
      <c r="P323" s="378"/>
      <c r="Q323" s="378"/>
      <c r="R323" s="378"/>
      <c r="S323" s="378"/>
      <c r="T323" s="378"/>
      <c r="U323" s="121"/>
      <c r="V323" s="160">
        <f t="shared" si="22"/>
      </c>
      <c r="X323"/>
      <c r="Y323"/>
      <c r="Z323"/>
      <c r="AA323"/>
      <c r="AB323"/>
      <c r="AC323"/>
      <c r="AD323"/>
    </row>
    <row r="324" spans="1:30" ht="12.75">
      <c r="A324" s="41">
        <v>29</v>
      </c>
      <c r="B324" s="230"/>
      <c r="C324" s="512"/>
      <c r="D324" s="512"/>
      <c r="E324" s="512"/>
      <c r="F324" s="512"/>
      <c r="G324" s="512"/>
      <c r="H324" s="512"/>
      <c r="I324" s="512"/>
      <c r="J324" s="121"/>
      <c r="K324" s="160">
        <f t="shared" si="21"/>
      </c>
      <c r="L324" s="164">
        <v>29</v>
      </c>
      <c r="M324" s="230"/>
      <c r="N324" s="378"/>
      <c r="O324" s="378"/>
      <c r="P324" s="378"/>
      <c r="Q324" s="378"/>
      <c r="R324" s="378"/>
      <c r="S324" s="378"/>
      <c r="T324" s="378"/>
      <c r="U324" s="121"/>
      <c r="V324" s="160">
        <f t="shared" si="22"/>
      </c>
      <c r="X324"/>
      <c r="Y324"/>
      <c r="Z324"/>
      <c r="AA324"/>
      <c r="AB324"/>
      <c r="AC324"/>
      <c r="AD324"/>
    </row>
    <row r="325" spans="1:30" ht="12.75">
      <c r="A325" s="41">
        <v>30</v>
      </c>
      <c r="B325" s="231"/>
      <c r="C325" s="512"/>
      <c r="D325" s="512"/>
      <c r="E325" s="512"/>
      <c r="F325" s="512"/>
      <c r="G325" s="512"/>
      <c r="H325" s="512"/>
      <c r="I325" s="512"/>
      <c r="J325" s="121"/>
      <c r="K325" s="160">
        <f t="shared" si="21"/>
      </c>
      <c r="L325" s="164">
        <v>30</v>
      </c>
      <c r="M325" s="231"/>
      <c r="N325" s="378"/>
      <c r="O325" s="378"/>
      <c r="P325" s="378"/>
      <c r="Q325" s="378"/>
      <c r="R325" s="378"/>
      <c r="S325" s="378"/>
      <c r="T325" s="378"/>
      <c r="U325" s="121"/>
      <c r="V325" s="160">
        <f t="shared" si="22"/>
      </c>
      <c r="X325"/>
      <c r="Y325"/>
      <c r="Z325"/>
      <c r="AA325"/>
      <c r="AB325"/>
      <c r="AC325"/>
      <c r="AD325"/>
    </row>
    <row r="326" spans="1:30" ht="12.75">
      <c r="A326" s="41">
        <v>31</v>
      </c>
      <c r="B326" s="231"/>
      <c r="C326" s="512"/>
      <c r="D326" s="512"/>
      <c r="E326" s="512"/>
      <c r="F326" s="512"/>
      <c r="G326" s="512"/>
      <c r="H326" s="512"/>
      <c r="I326" s="512"/>
      <c r="J326" s="121"/>
      <c r="K326" s="160">
        <f aca="true" t="shared" si="23" ref="K326:K332">IF(J326&lt;&gt;0,J326+K325,"")</f>
      </c>
      <c r="L326" s="164">
        <v>31</v>
      </c>
      <c r="M326" s="231"/>
      <c r="N326" s="378"/>
      <c r="O326" s="378"/>
      <c r="P326" s="378"/>
      <c r="Q326" s="378"/>
      <c r="R326" s="378"/>
      <c r="S326" s="378"/>
      <c r="T326" s="378"/>
      <c r="U326" s="121"/>
      <c r="V326" s="160">
        <f t="shared" si="22"/>
      </c>
      <c r="X326"/>
      <c r="Y326"/>
      <c r="Z326"/>
      <c r="AA326"/>
      <c r="AB326"/>
      <c r="AC326"/>
      <c r="AD326"/>
    </row>
    <row r="327" spans="1:30" ht="12.75">
      <c r="A327" s="41">
        <v>32</v>
      </c>
      <c r="B327" s="231"/>
      <c r="C327" s="512"/>
      <c r="D327" s="512"/>
      <c r="E327" s="512"/>
      <c r="F327" s="512"/>
      <c r="G327" s="512"/>
      <c r="H327" s="512"/>
      <c r="I327" s="512"/>
      <c r="J327" s="121"/>
      <c r="K327" s="160">
        <f t="shared" si="23"/>
      </c>
      <c r="L327" s="164">
        <v>32</v>
      </c>
      <c r="M327" s="231"/>
      <c r="N327" s="378"/>
      <c r="O327" s="378"/>
      <c r="P327" s="378"/>
      <c r="Q327" s="378"/>
      <c r="R327" s="378"/>
      <c r="S327" s="378"/>
      <c r="T327" s="378"/>
      <c r="U327" s="121"/>
      <c r="V327" s="160">
        <f t="shared" si="22"/>
      </c>
      <c r="X327"/>
      <c r="Y327"/>
      <c r="Z327"/>
      <c r="AA327"/>
      <c r="AB327"/>
      <c r="AC327"/>
      <c r="AD327"/>
    </row>
    <row r="328" spans="1:30" ht="12.75">
      <c r="A328" s="41">
        <v>33</v>
      </c>
      <c r="B328" s="231"/>
      <c r="C328" s="512"/>
      <c r="D328" s="512"/>
      <c r="E328" s="512"/>
      <c r="F328" s="512"/>
      <c r="G328" s="512"/>
      <c r="H328" s="512"/>
      <c r="I328" s="512"/>
      <c r="J328" s="121"/>
      <c r="K328" s="160">
        <f t="shared" si="23"/>
      </c>
      <c r="L328" s="164">
        <v>33</v>
      </c>
      <c r="M328" s="231"/>
      <c r="N328" s="378"/>
      <c r="O328" s="378"/>
      <c r="P328" s="378"/>
      <c r="Q328" s="378"/>
      <c r="R328" s="378"/>
      <c r="S328" s="378"/>
      <c r="T328" s="378"/>
      <c r="U328" s="121"/>
      <c r="V328" s="160">
        <f t="shared" si="22"/>
      </c>
      <c r="X328"/>
      <c r="Y328"/>
      <c r="Z328"/>
      <c r="AA328"/>
      <c r="AB328"/>
      <c r="AC328"/>
      <c r="AD328"/>
    </row>
    <row r="329" spans="1:30" ht="12.75">
      <c r="A329" s="41">
        <v>34</v>
      </c>
      <c r="B329" s="231"/>
      <c r="C329" s="512"/>
      <c r="D329" s="512"/>
      <c r="E329" s="512"/>
      <c r="F329" s="512"/>
      <c r="G329" s="512"/>
      <c r="H329" s="512"/>
      <c r="I329" s="512"/>
      <c r="J329" s="121"/>
      <c r="K329" s="160">
        <f t="shared" si="23"/>
      </c>
      <c r="L329" s="164">
        <v>34</v>
      </c>
      <c r="M329" s="231"/>
      <c r="N329" s="378"/>
      <c r="O329" s="378"/>
      <c r="P329" s="378"/>
      <c r="Q329" s="378"/>
      <c r="R329" s="378"/>
      <c r="S329" s="378"/>
      <c r="T329" s="378"/>
      <c r="U329" s="121"/>
      <c r="V329" s="160">
        <f t="shared" si="22"/>
      </c>
      <c r="X329"/>
      <c r="Y329"/>
      <c r="Z329"/>
      <c r="AA329"/>
      <c r="AB329"/>
      <c r="AC329"/>
      <c r="AD329"/>
    </row>
    <row r="330" spans="1:30" ht="12.75">
      <c r="A330" s="41">
        <v>35</v>
      </c>
      <c r="B330" s="231"/>
      <c r="C330" s="512"/>
      <c r="D330" s="512"/>
      <c r="E330" s="512"/>
      <c r="F330" s="512"/>
      <c r="G330" s="512"/>
      <c r="H330" s="512"/>
      <c r="I330" s="512"/>
      <c r="J330" s="121"/>
      <c r="K330" s="160">
        <f t="shared" si="23"/>
      </c>
      <c r="L330" s="164">
        <v>35</v>
      </c>
      <c r="M330" s="231"/>
      <c r="N330" s="378"/>
      <c r="O330" s="378"/>
      <c r="P330" s="378"/>
      <c r="Q330" s="378"/>
      <c r="R330" s="378"/>
      <c r="S330" s="378"/>
      <c r="T330" s="378"/>
      <c r="U330" s="121"/>
      <c r="V330" s="160">
        <f t="shared" si="22"/>
      </c>
      <c r="X330"/>
      <c r="Y330"/>
      <c r="Z330"/>
      <c r="AA330"/>
      <c r="AB330"/>
      <c r="AC330"/>
      <c r="AD330"/>
    </row>
    <row r="331" spans="1:30" ht="12.75">
      <c r="A331" s="41">
        <v>36</v>
      </c>
      <c r="B331" s="231"/>
      <c r="C331" s="512"/>
      <c r="D331" s="512"/>
      <c r="E331" s="512"/>
      <c r="F331" s="512"/>
      <c r="G331" s="512"/>
      <c r="H331" s="512"/>
      <c r="I331" s="512"/>
      <c r="J331" s="121"/>
      <c r="K331" s="160">
        <f t="shared" si="23"/>
      </c>
      <c r="L331" s="164">
        <v>36</v>
      </c>
      <c r="M331" s="231"/>
      <c r="N331" s="378"/>
      <c r="O331" s="378"/>
      <c r="P331" s="378"/>
      <c r="Q331" s="378"/>
      <c r="R331" s="378"/>
      <c r="S331" s="378"/>
      <c r="T331" s="378"/>
      <c r="U331" s="121"/>
      <c r="V331" s="160">
        <f t="shared" si="22"/>
      </c>
      <c r="X331"/>
      <c r="Y331"/>
      <c r="Z331"/>
      <c r="AA331"/>
      <c r="AB331"/>
      <c r="AC331"/>
      <c r="AD331"/>
    </row>
    <row r="332" spans="1:30" ht="13.5" thickBot="1">
      <c r="A332" s="41">
        <v>37</v>
      </c>
      <c r="B332" s="232"/>
      <c r="C332" s="521"/>
      <c r="D332" s="521"/>
      <c r="E332" s="521"/>
      <c r="F332" s="521"/>
      <c r="G332" s="521"/>
      <c r="H332" s="521"/>
      <c r="I332" s="521"/>
      <c r="J332" s="225"/>
      <c r="K332" s="227">
        <f t="shared" si="23"/>
      </c>
      <c r="L332" s="164">
        <v>37</v>
      </c>
      <c r="M332" s="232"/>
      <c r="N332" s="379"/>
      <c r="O332" s="379"/>
      <c r="P332" s="379"/>
      <c r="Q332" s="379"/>
      <c r="R332" s="379"/>
      <c r="S332" s="379"/>
      <c r="T332" s="379"/>
      <c r="U332" s="225"/>
      <c r="V332" s="227">
        <f t="shared" si="22"/>
      </c>
      <c r="X332"/>
      <c r="Y332"/>
      <c r="Z332"/>
      <c r="AA332"/>
      <c r="AB332"/>
      <c r="AC332"/>
      <c r="AD332"/>
    </row>
    <row r="334" ht="13.5" thickBot="1"/>
    <row r="335" spans="2:24" ht="12.75">
      <c r="B335" s="250" t="s">
        <v>827</v>
      </c>
      <c r="C335" s="157"/>
      <c r="D335" s="157"/>
      <c r="E335" s="157"/>
      <c r="F335" s="233"/>
      <c r="H335" s="250" t="s">
        <v>827</v>
      </c>
      <c r="I335" s="157"/>
      <c r="J335" s="157"/>
      <c r="K335" s="157"/>
      <c r="L335" s="233"/>
      <c r="N335" s="250" t="s">
        <v>827</v>
      </c>
      <c r="O335" s="157"/>
      <c r="P335" s="157"/>
      <c r="Q335" s="157"/>
      <c r="R335" s="233"/>
      <c r="T335" s="250" t="s">
        <v>827</v>
      </c>
      <c r="U335" s="157"/>
      <c r="V335" s="157"/>
      <c r="W335" s="157"/>
      <c r="X335" s="233"/>
    </row>
    <row r="336" spans="1:24" ht="12.75">
      <c r="A336" s="41">
        <v>1</v>
      </c>
      <c r="B336" s="231"/>
      <c r="C336" s="112">
        <f>IF(OR(T$481&lt;1,Spells!B3=""),"",Spells!B3&amp;" ("&amp;Spells!C3&amp;")")</f>
      </c>
      <c r="D336" s="112"/>
      <c r="E336" s="112"/>
      <c r="F336" s="158"/>
      <c r="G336" s="41">
        <f>A365+1</f>
        <v>31</v>
      </c>
      <c r="H336" s="231"/>
      <c r="I336" s="112">
        <f>IF(OR(T$481&lt;1,Spells!B33=""),"",Spells!B33&amp;" ("&amp;Spells!C33&amp;")")</f>
      </c>
      <c r="J336" s="112"/>
      <c r="K336" s="112"/>
      <c r="L336" s="158"/>
      <c r="M336" s="41">
        <f>G365+1</f>
        <v>61</v>
      </c>
      <c r="N336" s="231"/>
      <c r="O336" s="112">
        <f>IF(OR(T$481&lt;1,Spells!B63=""),"",Spells!B63&amp;" ("&amp;Spells!C63&amp;")")</f>
      </c>
      <c r="P336" s="112"/>
      <c r="Q336" s="112"/>
      <c r="R336" s="158"/>
      <c r="S336" s="41">
        <v>91</v>
      </c>
      <c r="T336" s="231"/>
      <c r="U336" s="112">
        <f>IF(OR(T$481&lt;1,Spells!B93=""),"",Spells!B93&amp;" ("&amp;Spells!C93&amp;")")</f>
      </c>
      <c r="V336" s="112"/>
      <c r="W336" s="112"/>
      <c r="X336" s="158"/>
    </row>
    <row r="337" spans="1:24" ht="12.75">
      <c r="A337" s="41">
        <v>2</v>
      </c>
      <c r="B337" s="231"/>
      <c r="C337" s="112">
        <f>IF(OR(T$481&lt;1,Spells!B4=""),"",Spells!B4&amp;" ("&amp;Spells!C4&amp;")")</f>
      </c>
      <c r="D337" s="112"/>
      <c r="E337" s="112"/>
      <c r="F337" s="158"/>
      <c r="G337" s="41">
        <f aca="true" t="shared" si="24" ref="G337:G365">G336+1</f>
        <v>32</v>
      </c>
      <c r="H337" s="231"/>
      <c r="I337" s="112">
        <f>IF(OR(T$481&lt;1,Spells!B34=""),"",Spells!B34&amp;" ("&amp;Spells!C34&amp;")")</f>
      </c>
      <c r="J337" s="112"/>
      <c r="K337" s="112"/>
      <c r="L337" s="158"/>
      <c r="M337" s="41">
        <f aca="true" t="shared" si="25" ref="M337:M342">M336+1</f>
        <v>62</v>
      </c>
      <c r="N337" s="231"/>
      <c r="O337" s="112">
        <f>IF(OR(T$481&lt;1,Spells!B64=""),"",Spells!B64&amp;" ("&amp;Spells!C64&amp;")")</f>
      </c>
      <c r="P337" s="112"/>
      <c r="Q337" s="112"/>
      <c r="R337" s="158"/>
      <c r="S337" s="41">
        <f>S336+1</f>
        <v>92</v>
      </c>
      <c r="T337" s="231"/>
      <c r="U337" s="112">
        <f>IF(OR(T$481&lt;1,Spells!B94=""),"",Spells!B94&amp;" ("&amp;Spells!C94&amp;")")</f>
      </c>
      <c r="V337" s="112"/>
      <c r="W337" s="112"/>
      <c r="X337" s="158"/>
    </row>
    <row r="338" spans="1:24" ht="12.75">
      <c r="A338" s="41">
        <f>A337+1</f>
        <v>3</v>
      </c>
      <c r="B338" s="231"/>
      <c r="C338" s="112">
        <f>IF(OR(T$481&lt;1,Spells!B5=""),"",Spells!B5&amp;" ("&amp;Spells!C5&amp;")")</f>
      </c>
      <c r="D338" s="112"/>
      <c r="E338" s="112"/>
      <c r="F338" s="158"/>
      <c r="G338" s="41">
        <f t="shared" si="24"/>
        <v>33</v>
      </c>
      <c r="H338" s="231"/>
      <c r="I338" s="112">
        <f>IF(OR(T$481&lt;1,Spells!B35=""),"",Spells!B35&amp;" ("&amp;Spells!C35&amp;")")</f>
      </c>
      <c r="J338" s="112"/>
      <c r="K338" s="112"/>
      <c r="L338" s="158"/>
      <c r="M338" s="41">
        <f t="shared" si="25"/>
        <v>63</v>
      </c>
      <c r="N338" s="231"/>
      <c r="O338" s="112">
        <f>IF(OR(T$481&lt;1,Spells!B65=""),"",Spells!B65&amp;" ("&amp;Spells!C65&amp;")")</f>
      </c>
      <c r="P338" s="112"/>
      <c r="Q338" s="112"/>
      <c r="R338" s="158"/>
      <c r="S338" s="41">
        <f aca="true" t="shared" si="26" ref="S338:S365">S337+1</f>
        <v>93</v>
      </c>
      <c r="T338" s="231"/>
      <c r="U338" s="112">
        <f>IF(OR(T$481&lt;1,Spells!B95=""),"",Spells!B95&amp;" ("&amp;Spells!C95&amp;")")</f>
      </c>
      <c r="V338" s="112"/>
      <c r="W338" s="112"/>
      <c r="X338" s="158"/>
    </row>
    <row r="339" spans="1:24" ht="12.75">
      <c r="A339" s="41">
        <f aca="true" t="shared" si="27" ref="A339:A360">A338+1</f>
        <v>4</v>
      </c>
      <c r="B339" s="231"/>
      <c r="C339" s="112">
        <f>IF(OR(T$481&lt;1,Spells!B6=""),"",Spells!B6&amp;" ("&amp;Spells!C6&amp;")")</f>
      </c>
      <c r="D339" s="112"/>
      <c r="E339" s="112"/>
      <c r="F339" s="158"/>
      <c r="G339" s="41">
        <f t="shared" si="24"/>
        <v>34</v>
      </c>
      <c r="H339" s="231"/>
      <c r="I339" s="112">
        <f>IF(OR(T$481&lt;1,Spells!B36=""),"",Spells!B36&amp;" ("&amp;Spells!C36&amp;")")</f>
      </c>
      <c r="J339" s="112"/>
      <c r="K339" s="112"/>
      <c r="L339" s="158"/>
      <c r="M339" s="41">
        <f t="shared" si="25"/>
        <v>64</v>
      </c>
      <c r="N339" s="231"/>
      <c r="O339" s="112">
        <f>IF(OR(T$481&lt;1,Spells!B66=""),"",Spells!B66&amp;" ("&amp;Spells!C66&amp;")")</f>
      </c>
      <c r="P339" s="112"/>
      <c r="Q339" s="112"/>
      <c r="R339" s="158"/>
      <c r="S339" s="41">
        <f t="shared" si="26"/>
        <v>94</v>
      </c>
      <c r="T339" s="231"/>
      <c r="U339" s="112">
        <f>IF(OR(T$481&lt;1,Spells!B96=""),"",Spells!B96&amp;" ("&amp;Spells!C96&amp;")")</f>
      </c>
      <c r="V339" s="112"/>
      <c r="W339" s="112"/>
      <c r="X339" s="158"/>
    </row>
    <row r="340" spans="1:24" ht="12.75">
      <c r="A340" s="41">
        <f t="shared" si="27"/>
        <v>5</v>
      </c>
      <c r="B340" s="231"/>
      <c r="C340" s="112">
        <f>IF(OR(T$481&lt;1,Spells!B7=""),"",Spells!B7&amp;" ("&amp;Spells!C7&amp;")")</f>
      </c>
      <c r="D340" s="112"/>
      <c r="E340" s="112"/>
      <c r="F340" s="158"/>
      <c r="G340" s="41">
        <f t="shared" si="24"/>
        <v>35</v>
      </c>
      <c r="H340" s="231"/>
      <c r="I340" s="112">
        <f>IF(OR(T$481&lt;1,Spells!B37=""),"",Spells!B37&amp;" ("&amp;Spells!C37&amp;")")</f>
      </c>
      <c r="J340" s="112"/>
      <c r="K340" s="112"/>
      <c r="L340" s="158"/>
      <c r="M340" s="41">
        <f t="shared" si="25"/>
        <v>65</v>
      </c>
      <c r="N340" s="231"/>
      <c r="O340" s="112">
        <f>IF(OR(T$481&lt;1,Spells!B67=""),"",Spells!B67&amp;" ("&amp;Spells!C67&amp;")")</f>
      </c>
      <c r="P340" s="112"/>
      <c r="Q340" s="112"/>
      <c r="R340" s="158"/>
      <c r="S340" s="41">
        <f t="shared" si="26"/>
        <v>95</v>
      </c>
      <c r="T340" s="231"/>
      <c r="U340" s="112">
        <f>IF(OR(T$481&lt;1,Spells!B97=""),"",Spells!B97&amp;" ("&amp;Spells!C97&amp;")")</f>
      </c>
      <c r="V340" s="112"/>
      <c r="W340" s="112"/>
      <c r="X340" s="158"/>
    </row>
    <row r="341" spans="1:24" ht="12.75">
      <c r="A341" s="41">
        <f t="shared" si="27"/>
        <v>6</v>
      </c>
      <c r="B341" s="231"/>
      <c r="C341" s="112">
        <f>IF(OR(T$481&lt;1,Spells!B8=""),"",Spells!B8&amp;" ("&amp;Spells!C8&amp;")")</f>
      </c>
      <c r="D341" s="112"/>
      <c r="E341" s="112"/>
      <c r="F341" s="158"/>
      <c r="G341" s="41">
        <f t="shared" si="24"/>
        <v>36</v>
      </c>
      <c r="H341" s="231"/>
      <c r="I341" s="112">
        <f>IF(OR(T$481&lt;1,Spells!B38=""),"",Spells!B38&amp;" ("&amp;Spells!C38&amp;")")</f>
      </c>
      <c r="J341" s="112"/>
      <c r="K341" s="112"/>
      <c r="L341" s="158"/>
      <c r="M341" s="41">
        <f t="shared" si="25"/>
        <v>66</v>
      </c>
      <c r="N341" s="231"/>
      <c r="O341" s="112">
        <f>IF(OR(T$481&lt;1,Spells!B68=""),"",Spells!B68&amp;" ("&amp;Spells!C68&amp;")")</f>
      </c>
      <c r="P341" s="112"/>
      <c r="Q341" s="112"/>
      <c r="R341" s="158"/>
      <c r="S341" s="41">
        <f t="shared" si="26"/>
        <v>96</v>
      </c>
      <c r="T341" s="231"/>
      <c r="U341" s="112">
        <f>IF(OR(T$481&lt;1,Spells!B98=""),"",Spells!B98&amp;" ("&amp;Spells!C98&amp;")")</f>
      </c>
      <c r="V341" s="112"/>
      <c r="W341" s="112"/>
      <c r="X341" s="158"/>
    </row>
    <row r="342" spans="1:24" ht="12.75">
      <c r="A342" s="41">
        <f t="shared" si="27"/>
        <v>7</v>
      </c>
      <c r="B342" s="231"/>
      <c r="C342" s="112">
        <f>IF(OR(T$481&lt;1,Spells!B9=""),"",Spells!B9&amp;" ("&amp;Spells!C9&amp;")")</f>
      </c>
      <c r="D342" s="112"/>
      <c r="E342" s="112"/>
      <c r="F342" s="158"/>
      <c r="G342" s="41">
        <f t="shared" si="24"/>
        <v>37</v>
      </c>
      <c r="H342" s="231"/>
      <c r="I342" s="112">
        <f>IF(OR(T$481&lt;1,Spells!B39=""),"",Spells!B39&amp;" ("&amp;Spells!C39&amp;")")</f>
      </c>
      <c r="J342" s="112"/>
      <c r="K342" s="112"/>
      <c r="L342" s="158"/>
      <c r="M342" s="41">
        <f t="shared" si="25"/>
        <v>67</v>
      </c>
      <c r="N342" s="231"/>
      <c r="O342" s="112">
        <f>IF(OR(T$481&lt;1,Spells!B69=""),"",Spells!B69&amp;" ("&amp;Spells!C69&amp;")")</f>
      </c>
      <c r="P342" s="112"/>
      <c r="Q342" s="112"/>
      <c r="R342" s="158"/>
      <c r="S342" s="41">
        <f t="shared" si="26"/>
        <v>97</v>
      </c>
      <c r="T342" s="231"/>
      <c r="U342" s="112">
        <f>IF(OR(T$481&lt;1,Spells!B99=""),"",Spells!B99&amp;" ("&amp;Spells!C99&amp;")")</f>
      </c>
      <c r="V342" s="112"/>
      <c r="W342" s="112"/>
      <c r="X342" s="158"/>
    </row>
    <row r="343" spans="1:24" ht="12.75">
      <c r="A343" s="41">
        <f t="shared" si="27"/>
        <v>8</v>
      </c>
      <c r="B343" s="231"/>
      <c r="C343" s="112">
        <f>IF(OR(T$481&lt;1,Spells!B10=""),"",Spells!B10&amp;" ("&amp;Spells!C10&amp;")")</f>
      </c>
      <c r="D343" s="112"/>
      <c r="E343" s="112"/>
      <c r="F343" s="158"/>
      <c r="G343" s="41">
        <f t="shared" si="24"/>
        <v>38</v>
      </c>
      <c r="H343" s="231"/>
      <c r="I343" s="112">
        <f>IF(OR(T$481&lt;1,Spells!B40=""),"",Spells!B40&amp;" ("&amp;Spells!C40&amp;")")</f>
      </c>
      <c r="J343" s="112"/>
      <c r="K343" s="112"/>
      <c r="L343" s="158"/>
      <c r="M343" s="41">
        <f aca="true" t="shared" si="28" ref="M343:M350">M342+1</f>
        <v>68</v>
      </c>
      <c r="N343" s="231"/>
      <c r="O343" s="112">
        <f>IF(OR(T$481&lt;1,Spells!B70=""),"",Spells!B70&amp;" ("&amp;Spells!C70&amp;")")</f>
      </c>
      <c r="P343" s="112"/>
      <c r="Q343" s="112"/>
      <c r="R343" s="158"/>
      <c r="S343" s="41">
        <f t="shared" si="26"/>
        <v>98</v>
      </c>
      <c r="T343" s="231"/>
      <c r="U343" s="112">
        <f>IF(OR(T$481&lt;1,Spells!B100=""),"",Spells!B100&amp;" ("&amp;Spells!C100&amp;")")</f>
      </c>
      <c r="V343" s="112"/>
      <c r="W343" s="112"/>
      <c r="X343" s="158"/>
    </row>
    <row r="344" spans="1:24" ht="12.75">
      <c r="A344" s="41">
        <f t="shared" si="27"/>
        <v>9</v>
      </c>
      <c r="B344" s="231"/>
      <c r="C344" s="112">
        <f>IF(OR(T$481&lt;1,Spells!B11=""),"",Spells!B11&amp;" ("&amp;Spells!C11&amp;")")</f>
      </c>
      <c r="D344" s="112"/>
      <c r="E344" s="112"/>
      <c r="F344" s="158"/>
      <c r="G344" s="41">
        <f t="shared" si="24"/>
        <v>39</v>
      </c>
      <c r="H344" s="231"/>
      <c r="I344" s="112">
        <f>IF(OR(T$481&lt;1,Spells!B41=""),"",Spells!B41&amp;" ("&amp;Spells!C41&amp;")")</f>
      </c>
      <c r="J344" s="112"/>
      <c r="K344" s="112"/>
      <c r="L344" s="158"/>
      <c r="M344" s="41">
        <f t="shared" si="28"/>
        <v>69</v>
      </c>
      <c r="N344" s="231"/>
      <c r="O344" s="112">
        <f>IF(OR(T$481&lt;1,Spells!B71=""),"",Spells!B71&amp;" ("&amp;Spells!C71&amp;")")</f>
      </c>
      <c r="P344" s="112"/>
      <c r="Q344" s="112"/>
      <c r="R344" s="158"/>
      <c r="S344" s="41">
        <f t="shared" si="26"/>
        <v>99</v>
      </c>
      <c r="T344" s="231"/>
      <c r="U344" s="112">
        <f>IF(OR(T$481&lt;1,Spells!B101=""),"",Spells!B101&amp;" ("&amp;Spells!C101&amp;")")</f>
      </c>
      <c r="V344" s="112"/>
      <c r="W344" s="112"/>
      <c r="X344" s="158"/>
    </row>
    <row r="345" spans="1:24" ht="12.75">
      <c r="A345" s="41">
        <f t="shared" si="27"/>
        <v>10</v>
      </c>
      <c r="B345" s="231"/>
      <c r="C345" s="112">
        <f>IF(OR(T$481&lt;1,Spells!B12=""),"",Spells!B12&amp;" ("&amp;Spells!C12&amp;")")</f>
      </c>
      <c r="D345" s="112"/>
      <c r="E345" s="112"/>
      <c r="F345" s="158"/>
      <c r="G345" s="41">
        <f t="shared" si="24"/>
        <v>40</v>
      </c>
      <c r="H345" s="231"/>
      <c r="I345" s="112">
        <f>IF(OR(T$481&lt;1,Spells!B42=""),"",Spells!B42&amp;" ("&amp;Spells!C42&amp;")")</f>
      </c>
      <c r="J345" s="112"/>
      <c r="K345" s="112"/>
      <c r="L345" s="158"/>
      <c r="M345" s="41">
        <f t="shared" si="28"/>
        <v>70</v>
      </c>
      <c r="N345" s="231"/>
      <c r="O345" s="112">
        <f>IF(OR(T$481&lt;1,Spells!B72=""),"",Spells!B72&amp;" ("&amp;Spells!C72&amp;")")</f>
      </c>
      <c r="P345" s="112"/>
      <c r="Q345" s="112"/>
      <c r="R345" s="158"/>
      <c r="S345" s="41">
        <f t="shared" si="26"/>
        <v>100</v>
      </c>
      <c r="T345" s="231"/>
      <c r="U345" s="112">
        <f>IF(OR(T$481&lt;1,Spells!B102=""),"",Spells!B102&amp;" ("&amp;Spells!C102&amp;")")</f>
      </c>
      <c r="V345" s="112"/>
      <c r="W345" s="112"/>
      <c r="X345" s="158"/>
    </row>
    <row r="346" spans="1:24" ht="12.75">
      <c r="A346" s="41">
        <f t="shared" si="27"/>
        <v>11</v>
      </c>
      <c r="B346" s="231"/>
      <c r="C346" s="112">
        <f>IF(OR(T$481&lt;1,Spells!B13=""),"",Spells!B13&amp;" ("&amp;Spells!C13&amp;")")</f>
      </c>
      <c r="D346" s="112"/>
      <c r="E346" s="112"/>
      <c r="F346" s="158"/>
      <c r="G346" s="41">
        <f t="shared" si="24"/>
        <v>41</v>
      </c>
      <c r="H346" s="231"/>
      <c r="I346" s="112">
        <f>IF(OR(T$481&lt;1,Spells!B43=""),"",Spells!B43&amp;" ("&amp;Spells!C43&amp;")")</f>
      </c>
      <c r="J346" s="112"/>
      <c r="K346" s="112"/>
      <c r="L346" s="158"/>
      <c r="M346" s="41">
        <f t="shared" si="28"/>
        <v>71</v>
      </c>
      <c r="N346" s="231"/>
      <c r="O346" s="112">
        <f>IF(OR(T$481&lt;1,Spells!B73=""),"",Spells!B73&amp;" ("&amp;Spells!C73&amp;")")</f>
      </c>
      <c r="P346" s="112"/>
      <c r="Q346" s="112"/>
      <c r="R346" s="158"/>
      <c r="S346" s="41">
        <f t="shared" si="26"/>
        <v>101</v>
      </c>
      <c r="T346" s="231"/>
      <c r="U346" s="112">
        <f>IF(OR(T$481&lt;1,Spells!B103=""),"",Spells!B103&amp;" ("&amp;Spells!C103&amp;")")</f>
      </c>
      <c r="V346" s="112"/>
      <c r="W346" s="112"/>
      <c r="X346" s="158"/>
    </row>
    <row r="347" spans="1:24" ht="12.75">
      <c r="A347" s="41">
        <f t="shared" si="27"/>
        <v>12</v>
      </c>
      <c r="B347" s="231"/>
      <c r="C347" s="112">
        <f>IF(OR(T$481&lt;1,Spells!B14=""),"",Spells!B14&amp;" ("&amp;Spells!C14&amp;")")</f>
      </c>
      <c r="D347" s="112"/>
      <c r="E347" s="112"/>
      <c r="F347" s="158"/>
      <c r="G347" s="41">
        <f t="shared" si="24"/>
        <v>42</v>
      </c>
      <c r="H347" s="231"/>
      <c r="I347" s="112">
        <f>IF(OR(T$481&lt;1,Spells!B44=""),"",Spells!B44&amp;" ("&amp;Spells!C44&amp;")")</f>
      </c>
      <c r="J347" s="112"/>
      <c r="K347" s="112"/>
      <c r="L347" s="158"/>
      <c r="M347" s="41">
        <f t="shared" si="28"/>
        <v>72</v>
      </c>
      <c r="N347" s="231"/>
      <c r="O347" s="112">
        <f>IF(OR(T$481&lt;1,Spells!B74=""),"",Spells!B74&amp;" ("&amp;Spells!C74&amp;")")</f>
      </c>
      <c r="P347" s="112"/>
      <c r="Q347" s="112"/>
      <c r="R347" s="158"/>
      <c r="S347" s="41">
        <f t="shared" si="26"/>
        <v>102</v>
      </c>
      <c r="T347" s="231"/>
      <c r="U347" s="112">
        <f>IF(OR(T$481&lt;1,Spells!B104=""),"",Spells!B104&amp;" ("&amp;Spells!C104&amp;")")</f>
      </c>
      <c r="V347" s="112"/>
      <c r="W347" s="112"/>
      <c r="X347" s="158"/>
    </row>
    <row r="348" spans="1:24" ht="12.75">
      <c r="A348" s="41">
        <f t="shared" si="27"/>
        <v>13</v>
      </c>
      <c r="B348" s="231"/>
      <c r="C348" s="112">
        <f>IF(OR(T$481&lt;1,Spells!B15=""),"",Spells!B15&amp;" ("&amp;Spells!C15&amp;")")</f>
      </c>
      <c r="D348" s="112"/>
      <c r="E348" s="112"/>
      <c r="F348" s="158"/>
      <c r="G348" s="41">
        <f t="shared" si="24"/>
        <v>43</v>
      </c>
      <c r="H348" s="231"/>
      <c r="I348" s="112">
        <f>IF(OR(T$481&lt;1,Spells!B45=""),"",Spells!B45&amp;" ("&amp;Spells!C45&amp;")")</f>
      </c>
      <c r="J348" s="112"/>
      <c r="K348" s="112"/>
      <c r="L348" s="158"/>
      <c r="M348" s="41">
        <f t="shared" si="28"/>
        <v>73</v>
      </c>
      <c r="N348" s="231"/>
      <c r="O348" s="112">
        <f>IF(OR(T$481&lt;1,Spells!B75=""),"",Spells!B75&amp;" ("&amp;Spells!C75&amp;")")</f>
      </c>
      <c r="P348" s="112"/>
      <c r="Q348" s="112"/>
      <c r="R348" s="158"/>
      <c r="S348" s="41">
        <f t="shared" si="26"/>
        <v>103</v>
      </c>
      <c r="T348" s="231"/>
      <c r="U348" s="112">
        <f>IF(OR(T$481&lt;1,Spells!B105=""),"",Spells!B105&amp;" ("&amp;Spells!C105&amp;")")</f>
      </c>
      <c r="V348" s="112"/>
      <c r="W348" s="112"/>
      <c r="X348" s="158"/>
    </row>
    <row r="349" spans="1:24" ht="12.75">
      <c r="A349" s="41">
        <f t="shared" si="27"/>
        <v>14</v>
      </c>
      <c r="B349" s="231"/>
      <c r="C349" s="112">
        <f>IF(OR(T$481&lt;1,Spells!B16=""),"",Spells!B16&amp;" ("&amp;Spells!C16&amp;")")</f>
      </c>
      <c r="D349" s="112"/>
      <c r="E349" s="112"/>
      <c r="F349" s="158"/>
      <c r="G349" s="41">
        <f t="shared" si="24"/>
        <v>44</v>
      </c>
      <c r="H349" s="231"/>
      <c r="I349" s="112">
        <f>IF(OR(T$481&lt;1,Spells!B46=""),"",Spells!B46&amp;" ("&amp;Spells!C46&amp;")")</f>
      </c>
      <c r="J349" s="112"/>
      <c r="K349" s="112"/>
      <c r="L349" s="158"/>
      <c r="M349" s="41">
        <f t="shared" si="28"/>
        <v>74</v>
      </c>
      <c r="N349" s="231"/>
      <c r="O349" s="112">
        <f>IF(OR(T$481&lt;1,Spells!B76=""),"",Spells!B76&amp;" ("&amp;Spells!C76&amp;")")</f>
      </c>
      <c r="P349" s="112"/>
      <c r="Q349" s="112"/>
      <c r="R349" s="158"/>
      <c r="S349" s="41">
        <f t="shared" si="26"/>
        <v>104</v>
      </c>
      <c r="T349" s="231"/>
      <c r="U349" s="112">
        <f>IF(OR(T$481&lt;1,Spells!B106=""),"",Spells!B106&amp;" ("&amp;Spells!C106&amp;")")</f>
      </c>
      <c r="V349" s="112"/>
      <c r="W349" s="112"/>
      <c r="X349" s="158"/>
    </row>
    <row r="350" spans="1:24" ht="12.75">
      <c r="A350" s="41">
        <f t="shared" si="27"/>
        <v>15</v>
      </c>
      <c r="B350" s="231"/>
      <c r="C350" s="112">
        <f>IF(OR(T$481&lt;1,Spells!B17=""),"",Spells!B17&amp;" ("&amp;Spells!C17&amp;")")</f>
      </c>
      <c r="D350" s="112"/>
      <c r="E350" s="112"/>
      <c r="F350" s="158"/>
      <c r="G350" s="41">
        <f t="shared" si="24"/>
        <v>45</v>
      </c>
      <c r="H350" s="231"/>
      <c r="I350" s="112">
        <f>IF(OR(T$481&lt;1,Spells!B47=""),"",Spells!B47&amp;" ("&amp;Spells!C47&amp;")")</f>
      </c>
      <c r="J350" s="112"/>
      <c r="K350" s="112"/>
      <c r="L350" s="158"/>
      <c r="M350" s="41">
        <f t="shared" si="28"/>
        <v>75</v>
      </c>
      <c r="N350" s="231"/>
      <c r="O350" s="112">
        <f>IF(OR(T$481&lt;1,Spells!B77=""),"",Spells!B77&amp;" ("&amp;Spells!C77&amp;")")</f>
      </c>
      <c r="P350" s="112"/>
      <c r="Q350" s="112"/>
      <c r="R350" s="158"/>
      <c r="S350" s="41">
        <f t="shared" si="26"/>
        <v>105</v>
      </c>
      <c r="T350" s="231"/>
      <c r="U350" s="112">
        <f>IF(OR(T$481&lt;1,Spells!B107=""),"",Spells!B107&amp;" ("&amp;Spells!C107&amp;")")</f>
      </c>
      <c r="V350" s="112"/>
      <c r="W350" s="112"/>
      <c r="X350" s="158"/>
    </row>
    <row r="351" spans="1:24" ht="12.75">
      <c r="A351" s="41">
        <f t="shared" si="27"/>
        <v>16</v>
      </c>
      <c r="B351" s="231"/>
      <c r="C351" s="112">
        <f>IF(OR(T$481&lt;1,Spells!B18=""),"",Spells!B18&amp;" ("&amp;Spells!C18&amp;")")</f>
      </c>
      <c r="D351" s="112"/>
      <c r="E351" s="112"/>
      <c r="F351" s="158"/>
      <c r="G351" s="41">
        <f t="shared" si="24"/>
        <v>46</v>
      </c>
      <c r="H351" s="231"/>
      <c r="I351" s="112">
        <f>IF(OR(T$481&lt;1,Spells!B48=""),"",Spells!B48&amp;" ("&amp;Spells!C48&amp;")")</f>
      </c>
      <c r="J351" s="112"/>
      <c r="K351" s="112"/>
      <c r="L351" s="158"/>
      <c r="M351" s="41">
        <f aca="true" t="shared" si="29" ref="M351:M365">M350+1</f>
        <v>76</v>
      </c>
      <c r="N351" s="231"/>
      <c r="O351" s="112">
        <f>IF(OR(T$481&lt;1,Spells!B78=""),"",Spells!B78&amp;" ("&amp;Spells!C78&amp;")")</f>
      </c>
      <c r="P351" s="112"/>
      <c r="Q351" s="112"/>
      <c r="R351" s="158"/>
      <c r="S351" s="41">
        <f t="shared" si="26"/>
        <v>106</v>
      </c>
      <c r="T351" s="231"/>
      <c r="U351" s="112">
        <f>IF(OR(T$481&lt;1,Spells!B108=""),"",Spells!B108&amp;" ("&amp;Spells!C108&amp;")")</f>
      </c>
      <c r="V351" s="112"/>
      <c r="W351" s="112"/>
      <c r="X351" s="158"/>
    </row>
    <row r="352" spans="1:24" ht="12.75">
      <c r="A352" s="41">
        <f t="shared" si="27"/>
        <v>17</v>
      </c>
      <c r="B352" s="231"/>
      <c r="C352" s="112">
        <f>IF(OR(T$481&lt;1,Spells!B19=""),"",Spells!B19&amp;" ("&amp;Spells!C19&amp;")")</f>
      </c>
      <c r="D352" s="112"/>
      <c r="E352" s="112"/>
      <c r="F352" s="158"/>
      <c r="G352" s="41">
        <f t="shared" si="24"/>
        <v>47</v>
      </c>
      <c r="H352" s="231"/>
      <c r="I352" s="112">
        <f>IF(OR(T$481&lt;1,Spells!B49=""),"",Spells!B49&amp;" ("&amp;Spells!C49&amp;")")</f>
      </c>
      <c r="J352" s="112"/>
      <c r="K352" s="112"/>
      <c r="L352" s="158"/>
      <c r="M352" s="41">
        <f t="shared" si="29"/>
        <v>77</v>
      </c>
      <c r="N352" s="231"/>
      <c r="O352" s="112">
        <f>IF(OR(T$481&lt;1,Spells!B79=""),"",Spells!B79&amp;" ("&amp;Spells!C79&amp;")")</f>
      </c>
      <c r="P352" s="112"/>
      <c r="Q352" s="112"/>
      <c r="R352" s="158"/>
      <c r="S352" s="41">
        <f t="shared" si="26"/>
        <v>107</v>
      </c>
      <c r="T352" s="231"/>
      <c r="U352" s="112">
        <f>IF(OR(T$481&lt;1,Spells!B109=""),"",Spells!B109&amp;" ("&amp;Spells!C109&amp;")")</f>
      </c>
      <c r="V352" s="112"/>
      <c r="W352" s="112"/>
      <c r="X352" s="158"/>
    </row>
    <row r="353" spans="1:24" ht="12.75">
      <c r="A353" s="41">
        <f t="shared" si="27"/>
        <v>18</v>
      </c>
      <c r="B353" s="231"/>
      <c r="C353" s="112">
        <f>IF(OR(T$481&lt;1,Spells!B20=""),"",Spells!B20&amp;" ("&amp;Spells!C20&amp;")")</f>
      </c>
      <c r="D353" s="112"/>
      <c r="E353" s="112"/>
      <c r="F353" s="158"/>
      <c r="G353" s="41">
        <f t="shared" si="24"/>
        <v>48</v>
      </c>
      <c r="H353" s="231"/>
      <c r="I353" s="112">
        <f>IF(OR(T$481&lt;1,Spells!B50=""),"",Spells!B50&amp;" ("&amp;Spells!C50&amp;")")</f>
      </c>
      <c r="J353" s="112"/>
      <c r="K353" s="112"/>
      <c r="L353" s="158"/>
      <c r="M353" s="41">
        <f t="shared" si="29"/>
        <v>78</v>
      </c>
      <c r="N353" s="231"/>
      <c r="O353" s="112">
        <f>IF(OR(T$481&lt;1,Spells!B80=""),"",Spells!B80&amp;" ("&amp;Spells!C80&amp;")")</f>
      </c>
      <c r="P353" s="112"/>
      <c r="Q353" s="112"/>
      <c r="R353" s="158"/>
      <c r="S353" s="41">
        <f t="shared" si="26"/>
        <v>108</v>
      </c>
      <c r="T353" s="231"/>
      <c r="U353" s="112">
        <f>IF(OR(T$481&lt;1,Spells!B110=""),"",Spells!B110&amp;" ("&amp;Spells!C110&amp;")")</f>
      </c>
      <c r="V353" s="112"/>
      <c r="W353" s="112"/>
      <c r="X353" s="158"/>
    </row>
    <row r="354" spans="1:24" ht="12.75">
      <c r="A354" s="41">
        <f t="shared" si="27"/>
        <v>19</v>
      </c>
      <c r="B354" s="231"/>
      <c r="C354" s="112">
        <f>IF(OR(T$481&lt;1,Spells!B21=""),"",Spells!B21&amp;" ("&amp;Spells!C21&amp;")")</f>
      </c>
      <c r="D354" s="112"/>
      <c r="E354" s="112"/>
      <c r="F354" s="158"/>
      <c r="G354" s="41">
        <f t="shared" si="24"/>
        <v>49</v>
      </c>
      <c r="H354" s="231"/>
      <c r="I354" s="112">
        <f>IF(OR(T$481&lt;1,Spells!B51=""),"",Spells!B51&amp;" ("&amp;Spells!C51&amp;")")</f>
      </c>
      <c r="J354" s="112"/>
      <c r="K354" s="112"/>
      <c r="L354" s="158"/>
      <c r="M354" s="41">
        <f t="shared" si="29"/>
        <v>79</v>
      </c>
      <c r="N354" s="231"/>
      <c r="O354" s="112">
        <f>IF(OR(T$481&lt;1,Spells!B81=""),"",Spells!B81&amp;" ("&amp;Spells!C81&amp;")")</f>
      </c>
      <c r="P354" s="112"/>
      <c r="Q354" s="112"/>
      <c r="R354" s="158"/>
      <c r="S354" s="41">
        <f t="shared" si="26"/>
        <v>109</v>
      </c>
      <c r="T354" s="231"/>
      <c r="U354" s="112">
        <f>IF(OR(T$481&lt;1,Spells!B111=""),"",Spells!B111&amp;" ("&amp;Spells!C111&amp;")")</f>
      </c>
      <c r="V354" s="112"/>
      <c r="W354" s="112"/>
      <c r="X354" s="158"/>
    </row>
    <row r="355" spans="1:24" ht="12.75">
      <c r="A355" s="41">
        <f t="shared" si="27"/>
        <v>20</v>
      </c>
      <c r="B355" s="231"/>
      <c r="C355" s="112">
        <f>IF(OR(T$481&lt;1,Spells!B22=""),"",Spells!B22&amp;" ("&amp;Spells!C22&amp;")")</f>
      </c>
      <c r="D355" s="112"/>
      <c r="E355" s="112"/>
      <c r="F355" s="158"/>
      <c r="G355" s="41">
        <f t="shared" si="24"/>
        <v>50</v>
      </c>
      <c r="H355" s="231"/>
      <c r="I355" s="112">
        <f>IF(OR(T$481&lt;1,Spells!B52=""),"",Spells!B52&amp;" ("&amp;Spells!C52&amp;")")</f>
      </c>
      <c r="J355" s="112"/>
      <c r="K355" s="112"/>
      <c r="L355" s="158"/>
      <c r="M355" s="41">
        <f t="shared" si="29"/>
        <v>80</v>
      </c>
      <c r="N355" s="231"/>
      <c r="O355" s="112">
        <f>IF(OR(T$481&lt;1,Spells!B82=""),"",Spells!B82&amp;" ("&amp;Spells!C82&amp;")")</f>
      </c>
      <c r="P355" s="112"/>
      <c r="Q355" s="112"/>
      <c r="R355" s="158"/>
      <c r="S355" s="41">
        <f t="shared" si="26"/>
        <v>110</v>
      </c>
      <c r="T355" s="231"/>
      <c r="U355" s="112">
        <f>IF(OR(T$481&lt;1,Spells!B112=""),"",Spells!B112&amp;" ("&amp;Spells!C112&amp;")")</f>
      </c>
      <c r="V355" s="112"/>
      <c r="W355" s="112"/>
      <c r="X355" s="158"/>
    </row>
    <row r="356" spans="1:24" ht="12.75">
      <c r="A356" s="41">
        <f t="shared" si="27"/>
        <v>21</v>
      </c>
      <c r="B356" s="231"/>
      <c r="C356" s="112">
        <f>IF(OR(T$481&lt;1,Spells!B23=""),"",Spells!B23&amp;" ("&amp;Spells!C23&amp;")")</f>
      </c>
      <c r="D356" s="112"/>
      <c r="E356" s="112"/>
      <c r="F356" s="158"/>
      <c r="G356" s="41">
        <f t="shared" si="24"/>
        <v>51</v>
      </c>
      <c r="H356" s="231"/>
      <c r="I356" s="112">
        <f>IF(OR(T$481&lt;1,Spells!B53=""),"",Spells!B53&amp;" ("&amp;Spells!C53&amp;")")</f>
      </c>
      <c r="J356" s="112"/>
      <c r="K356" s="112"/>
      <c r="L356" s="158"/>
      <c r="M356" s="41">
        <f t="shared" si="29"/>
        <v>81</v>
      </c>
      <c r="N356" s="231"/>
      <c r="O356" s="112">
        <f>IF(OR(T$481&lt;1,Spells!B83=""),"",Spells!B83&amp;" ("&amp;Spells!C83&amp;")")</f>
      </c>
      <c r="P356" s="112"/>
      <c r="Q356" s="112"/>
      <c r="R356" s="158"/>
      <c r="S356" s="41">
        <f t="shared" si="26"/>
        <v>111</v>
      </c>
      <c r="T356" s="231"/>
      <c r="U356" s="112">
        <f>IF(OR(T$481&lt;1,Spells!B113=""),"",Spells!B113&amp;" ("&amp;Spells!C113&amp;")")</f>
      </c>
      <c r="V356" s="112"/>
      <c r="W356" s="112"/>
      <c r="X356" s="158"/>
    </row>
    <row r="357" spans="1:24" ht="12.75">
      <c r="A357" s="41">
        <f t="shared" si="27"/>
        <v>22</v>
      </c>
      <c r="B357" s="231"/>
      <c r="C357" s="112">
        <f>IF(OR(T$481&lt;1,Spells!B24=""),"",Spells!B24&amp;" ("&amp;Spells!C24&amp;")")</f>
      </c>
      <c r="D357" s="112"/>
      <c r="E357" s="112"/>
      <c r="F357" s="158"/>
      <c r="G357" s="41">
        <f t="shared" si="24"/>
        <v>52</v>
      </c>
      <c r="H357" s="231"/>
      <c r="I357" s="112">
        <f>IF(OR(T$481&lt;1,Spells!B54=""),"",Spells!B54&amp;" ("&amp;Spells!C54&amp;")")</f>
      </c>
      <c r="J357" s="112"/>
      <c r="K357" s="112"/>
      <c r="L357" s="158"/>
      <c r="M357" s="41">
        <f t="shared" si="29"/>
        <v>82</v>
      </c>
      <c r="N357" s="231"/>
      <c r="O357" s="112">
        <f>IF(OR(T$481&lt;1,Spells!B84=""),"",Spells!B84&amp;" ("&amp;Spells!C84&amp;")")</f>
      </c>
      <c r="P357" s="112"/>
      <c r="Q357" s="112"/>
      <c r="R357" s="158"/>
      <c r="S357" s="41">
        <f t="shared" si="26"/>
        <v>112</v>
      </c>
      <c r="T357" s="231"/>
      <c r="U357" s="112">
        <f>IF(OR(T$481&lt;1,Spells!B114=""),"",Spells!B114&amp;" ("&amp;Spells!C114&amp;")")</f>
      </c>
      <c r="V357" s="112"/>
      <c r="W357" s="112"/>
      <c r="X357" s="158"/>
    </row>
    <row r="358" spans="1:24" ht="12.75">
      <c r="A358" s="41">
        <f t="shared" si="27"/>
        <v>23</v>
      </c>
      <c r="B358" s="231"/>
      <c r="C358" s="112">
        <f>IF(OR(T$481&lt;1,Spells!B25=""),"",Spells!B25&amp;" ("&amp;Spells!C25&amp;")")</f>
      </c>
      <c r="D358" s="112"/>
      <c r="E358" s="112"/>
      <c r="F358" s="158"/>
      <c r="G358" s="41">
        <f t="shared" si="24"/>
        <v>53</v>
      </c>
      <c r="H358" s="231"/>
      <c r="I358" s="112">
        <f>IF(OR(T$481&lt;1,Spells!B55=""),"",Spells!B55&amp;" ("&amp;Spells!C55&amp;")")</f>
      </c>
      <c r="J358" s="112"/>
      <c r="K358" s="112"/>
      <c r="L358" s="158"/>
      <c r="M358" s="41">
        <f t="shared" si="29"/>
        <v>83</v>
      </c>
      <c r="N358" s="231"/>
      <c r="O358" s="112">
        <f>IF(OR(T$481&lt;1,Spells!B85=""),"",Spells!B85&amp;" ("&amp;Spells!C85&amp;")")</f>
      </c>
      <c r="P358" s="112"/>
      <c r="Q358" s="112"/>
      <c r="R358" s="158"/>
      <c r="S358" s="41">
        <f t="shared" si="26"/>
        <v>113</v>
      </c>
      <c r="T358" s="231"/>
      <c r="U358" s="112">
        <f>IF(OR(T$481&lt;1,Spells!B115=""),"",Spells!B115&amp;" ("&amp;Spells!C115&amp;")")</f>
      </c>
      <c r="V358" s="112"/>
      <c r="W358" s="112"/>
      <c r="X358" s="158"/>
    </row>
    <row r="359" spans="1:24" ht="12.75">
      <c r="A359" s="41">
        <f t="shared" si="27"/>
        <v>24</v>
      </c>
      <c r="B359" s="231"/>
      <c r="C359" s="112">
        <f>IF(OR(T$481&lt;1,Spells!B26=""),"",Spells!B26&amp;" ("&amp;Spells!C26&amp;")")</f>
      </c>
      <c r="D359" s="112"/>
      <c r="E359" s="112"/>
      <c r="F359" s="158"/>
      <c r="G359" s="41">
        <f t="shared" si="24"/>
        <v>54</v>
      </c>
      <c r="H359" s="231"/>
      <c r="I359" s="112">
        <f>IF(OR(T$481&lt;1,Spells!B56=""),"",Spells!B56&amp;" ("&amp;Spells!C56&amp;")")</f>
      </c>
      <c r="J359" s="112"/>
      <c r="K359" s="112"/>
      <c r="L359" s="158"/>
      <c r="M359" s="41">
        <f t="shared" si="29"/>
        <v>84</v>
      </c>
      <c r="N359" s="231"/>
      <c r="O359" s="112">
        <f>IF(OR(T$481&lt;1,Spells!B86=""),"",Spells!B86&amp;" ("&amp;Spells!C86&amp;")")</f>
      </c>
      <c r="P359" s="112"/>
      <c r="Q359" s="112"/>
      <c r="R359" s="158"/>
      <c r="S359" s="41">
        <f t="shared" si="26"/>
        <v>114</v>
      </c>
      <c r="T359" s="231"/>
      <c r="U359" s="112">
        <f>IF(OR(T$481&lt;1,Spells!B116=""),"",Spells!B116&amp;" ("&amp;Spells!C116&amp;")")</f>
      </c>
      <c r="V359" s="112"/>
      <c r="W359" s="112"/>
      <c r="X359" s="158"/>
    </row>
    <row r="360" spans="1:24" ht="12.75">
      <c r="A360" s="41">
        <f t="shared" si="27"/>
        <v>25</v>
      </c>
      <c r="B360" s="231"/>
      <c r="C360" s="112">
        <f>IF(OR(T$481&lt;1,Spells!B27=""),"",Spells!B27&amp;" ("&amp;Spells!C27&amp;")")</f>
      </c>
      <c r="D360" s="112"/>
      <c r="E360" s="112"/>
      <c r="F360" s="158"/>
      <c r="G360" s="41">
        <f t="shared" si="24"/>
        <v>55</v>
      </c>
      <c r="H360" s="231"/>
      <c r="I360" s="112">
        <f>IF(OR(T$481&lt;1,Spells!B57=""),"",Spells!B57&amp;" ("&amp;Spells!C57&amp;")")</f>
      </c>
      <c r="J360" s="112"/>
      <c r="K360" s="112"/>
      <c r="L360" s="158"/>
      <c r="M360" s="41">
        <f t="shared" si="29"/>
        <v>85</v>
      </c>
      <c r="N360" s="231"/>
      <c r="O360" s="112">
        <f>IF(OR(T$481&lt;1,Spells!B87=""),"",Spells!B87&amp;" ("&amp;Spells!C87&amp;")")</f>
      </c>
      <c r="P360" s="112"/>
      <c r="Q360" s="112"/>
      <c r="R360" s="158"/>
      <c r="S360" s="41">
        <f t="shared" si="26"/>
        <v>115</v>
      </c>
      <c r="T360" s="231"/>
      <c r="U360" s="112">
        <f>IF(OR(T$481&lt;1,Spells!B117=""),"",Spells!B117&amp;" ("&amp;Spells!C117&amp;")")</f>
      </c>
      <c r="V360" s="112"/>
      <c r="W360" s="112"/>
      <c r="X360" s="158"/>
    </row>
    <row r="361" spans="1:24" ht="12.75">
      <c r="A361" s="41">
        <f>A360+1</f>
        <v>26</v>
      </c>
      <c r="B361" s="231"/>
      <c r="C361" s="112">
        <f>IF(OR(T$481&lt;1,Spells!B28=""),"",Spells!B28&amp;" ("&amp;Spells!C28&amp;")")</f>
      </c>
      <c r="D361" s="112"/>
      <c r="E361" s="112"/>
      <c r="F361" s="158"/>
      <c r="G361" s="41">
        <f t="shared" si="24"/>
        <v>56</v>
      </c>
      <c r="H361" s="231"/>
      <c r="I361" s="112">
        <f>IF(OR(T$481&lt;1,Spells!B58=""),"",Spells!B58&amp;" ("&amp;Spells!C58&amp;")")</f>
      </c>
      <c r="J361" s="112"/>
      <c r="K361" s="112"/>
      <c r="L361" s="158"/>
      <c r="M361" s="41">
        <f t="shared" si="29"/>
        <v>86</v>
      </c>
      <c r="N361" s="231"/>
      <c r="O361" s="112">
        <f>IF(OR(T$481&lt;1,Spells!B88=""),"",Spells!B88&amp;" ("&amp;Spells!C88&amp;")")</f>
      </c>
      <c r="P361" s="112"/>
      <c r="Q361" s="112"/>
      <c r="R361" s="158"/>
      <c r="S361" s="41">
        <f t="shared" si="26"/>
        <v>116</v>
      </c>
      <c r="T361" s="231"/>
      <c r="U361" s="112">
        <f>IF(OR(T$481&lt;1,Spells!B118=""),"",Spells!B118&amp;" ("&amp;Spells!C118&amp;")")</f>
      </c>
      <c r="V361" s="112"/>
      <c r="W361" s="112"/>
      <c r="X361" s="158"/>
    </row>
    <row r="362" spans="1:24" ht="12.75">
      <c r="A362" s="41">
        <f>A361+1</f>
        <v>27</v>
      </c>
      <c r="B362" s="231"/>
      <c r="C362" s="112">
        <f>IF(OR(T$481&lt;1,Spells!B29=""),"",Spells!B29&amp;" ("&amp;Spells!C29&amp;")")</f>
      </c>
      <c r="D362" s="112"/>
      <c r="E362" s="112"/>
      <c r="F362" s="158"/>
      <c r="G362" s="41">
        <f t="shared" si="24"/>
        <v>57</v>
      </c>
      <c r="H362" s="231"/>
      <c r="I362" s="112">
        <f>IF(OR(T$481&lt;1,Spells!B59=""),"",Spells!B59&amp;" ("&amp;Spells!C59&amp;")")</f>
      </c>
      <c r="J362" s="112"/>
      <c r="K362" s="112"/>
      <c r="L362" s="158"/>
      <c r="M362" s="41">
        <f t="shared" si="29"/>
        <v>87</v>
      </c>
      <c r="N362" s="231"/>
      <c r="O362" s="112">
        <f>IF(OR(T$481&lt;1,Spells!B89=""),"",Spells!B89&amp;" ("&amp;Spells!C89&amp;")")</f>
      </c>
      <c r="P362" s="112"/>
      <c r="Q362" s="112"/>
      <c r="R362" s="158"/>
      <c r="S362" s="41">
        <f t="shared" si="26"/>
        <v>117</v>
      </c>
      <c r="T362" s="231"/>
      <c r="U362" s="112">
        <f>IF(OR(T$481&lt;1,Spells!B119=""),"",Spells!B119&amp;" ("&amp;Spells!C119&amp;")")</f>
      </c>
      <c r="V362" s="112"/>
      <c r="W362" s="112"/>
      <c r="X362" s="158"/>
    </row>
    <row r="363" spans="1:24" ht="12.75">
      <c r="A363" s="41">
        <f>A362+1</f>
        <v>28</v>
      </c>
      <c r="B363" s="231"/>
      <c r="C363" s="112">
        <f>IF(OR(T$481&lt;1,Spells!B30=""),"",Spells!B30&amp;" ("&amp;Spells!C30&amp;")")</f>
      </c>
      <c r="D363" s="112"/>
      <c r="E363" s="112"/>
      <c r="F363" s="158"/>
      <c r="G363" s="41">
        <f t="shared" si="24"/>
        <v>58</v>
      </c>
      <c r="H363" s="231"/>
      <c r="I363" s="112">
        <f>IF(OR(T$481&lt;1,Spells!B60=""),"",Spells!B60&amp;" ("&amp;Spells!C60&amp;")")</f>
      </c>
      <c r="J363" s="112"/>
      <c r="K363" s="112"/>
      <c r="L363" s="158"/>
      <c r="M363" s="41">
        <f t="shared" si="29"/>
        <v>88</v>
      </c>
      <c r="N363" s="231"/>
      <c r="O363" s="112">
        <f>IF(OR(T$481&lt;1,Spells!B90=""),"",Spells!B90&amp;" ("&amp;Spells!C90&amp;")")</f>
      </c>
      <c r="P363" s="112"/>
      <c r="Q363" s="112"/>
      <c r="R363" s="158"/>
      <c r="S363" s="41">
        <f t="shared" si="26"/>
        <v>118</v>
      </c>
      <c r="T363" s="231"/>
      <c r="U363" s="112">
        <f>IF(OR(T$481&lt;1,Spells!B120=""),"",Spells!B120&amp;" ("&amp;Spells!C120&amp;")")</f>
      </c>
      <c r="V363" s="112"/>
      <c r="W363" s="112"/>
      <c r="X363" s="158"/>
    </row>
    <row r="364" spans="1:24" ht="12.75">
      <c r="A364" s="41">
        <f>A363+1</f>
        <v>29</v>
      </c>
      <c r="B364" s="231"/>
      <c r="C364" s="112">
        <f>IF(OR(T$481&lt;1,Spells!B31=""),"",Spells!B31&amp;" ("&amp;Spells!C31&amp;")")</f>
      </c>
      <c r="D364" s="112"/>
      <c r="E364" s="112"/>
      <c r="F364" s="158"/>
      <c r="G364" s="41">
        <f t="shared" si="24"/>
        <v>59</v>
      </c>
      <c r="H364" s="231"/>
      <c r="I364" s="112">
        <f>IF(OR(T$481&lt;1,Spells!B61=""),"",Spells!B61&amp;" ("&amp;Spells!C61&amp;")")</f>
      </c>
      <c r="J364" s="112"/>
      <c r="K364" s="112"/>
      <c r="L364" s="158"/>
      <c r="M364" s="41">
        <f t="shared" si="29"/>
        <v>89</v>
      </c>
      <c r="N364" s="231"/>
      <c r="O364" s="112">
        <f>IF(OR(T$481&lt;1,Spells!B91=""),"",Spells!B91&amp;" ("&amp;Spells!C91&amp;")")</f>
      </c>
      <c r="P364" s="112"/>
      <c r="Q364" s="112"/>
      <c r="R364" s="158"/>
      <c r="S364" s="41">
        <f t="shared" si="26"/>
        <v>119</v>
      </c>
      <c r="T364" s="231"/>
      <c r="U364" s="112">
        <f>IF(OR(T$481&lt;1,Spells!B121=""),"",Spells!B121&amp;" ("&amp;Spells!C121&amp;")")</f>
      </c>
      <c r="V364" s="112"/>
      <c r="W364" s="112"/>
      <c r="X364" s="158"/>
    </row>
    <row r="365" spans="1:24" ht="13.5" thickBot="1">
      <c r="A365" s="41">
        <f>A364+1</f>
        <v>30</v>
      </c>
      <c r="B365" s="232"/>
      <c r="C365" s="162">
        <f>IF(OR(T$481&lt;1,Spells!B32=""),"",Spells!B32&amp;" ("&amp;Spells!C32&amp;")")</f>
      </c>
      <c r="D365" s="162"/>
      <c r="E365" s="162"/>
      <c r="F365" s="234"/>
      <c r="G365" s="41">
        <f t="shared" si="24"/>
        <v>60</v>
      </c>
      <c r="H365" s="232"/>
      <c r="I365" s="162">
        <f>IF(OR(T$481&lt;1,Spells!B62=""),"",Spells!B62&amp;" ("&amp;Spells!C62&amp;")")</f>
      </c>
      <c r="J365" s="162"/>
      <c r="K365" s="162"/>
      <c r="L365" s="234"/>
      <c r="M365" s="41">
        <f t="shared" si="29"/>
        <v>90</v>
      </c>
      <c r="N365" s="232"/>
      <c r="O365" s="162">
        <f>IF(OR(T$481&lt;1,Spells!B92=""),"",Spells!B92&amp;" ("&amp;Spells!C92&amp;")")</f>
      </c>
      <c r="P365" s="162"/>
      <c r="Q365" s="162"/>
      <c r="R365" s="234"/>
      <c r="S365" s="41">
        <f t="shared" si="26"/>
        <v>120</v>
      </c>
      <c r="T365" s="232"/>
      <c r="U365" s="162">
        <f>IF(OR(T$481&lt;1,Spells!B122=""),"",Spells!B122&amp;" ("&amp;Spells!C122&amp;")")</f>
      </c>
      <c r="V365" s="162"/>
      <c r="W365" s="162"/>
      <c r="X365" s="234"/>
    </row>
    <row r="366" ht="13.5" thickBot="1"/>
    <row r="367" spans="2:24" ht="12.75">
      <c r="B367" s="250" t="s">
        <v>829</v>
      </c>
      <c r="C367" s="157"/>
      <c r="D367" s="157"/>
      <c r="E367" s="157"/>
      <c r="F367" s="233"/>
      <c r="H367" s="250" t="s">
        <v>829</v>
      </c>
      <c r="I367" s="157"/>
      <c r="J367" s="157"/>
      <c r="K367" s="157"/>
      <c r="L367" s="233"/>
      <c r="N367" s="250" t="s">
        <v>829</v>
      </c>
      <c r="O367" s="157"/>
      <c r="P367" s="157"/>
      <c r="Q367" s="157"/>
      <c r="R367" s="233"/>
      <c r="T367" s="250" t="s">
        <v>829</v>
      </c>
      <c r="U367" s="157"/>
      <c r="V367" s="157"/>
      <c r="W367" s="157"/>
      <c r="X367" s="233"/>
    </row>
    <row r="368" spans="1:24" ht="12.75">
      <c r="A368" s="41">
        <v>1</v>
      </c>
      <c r="B368" s="231"/>
      <c r="C368" s="112">
        <f>IF(OR(T$482&lt;1,Spells!L3=""),"",Spells!L3&amp;" ("&amp;Spells!M3&amp;")")</f>
      </c>
      <c r="D368" s="112"/>
      <c r="E368" s="112"/>
      <c r="F368" s="158"/>
      <c r="G368" s="41">
        <f>A397+1</f>
        <v>31</v>
      </c>
      <c r="H368" s="231"/>
      <c r="I368" s="112">
        <f>IF(OR(T$482&lt;1,Spells!L33=""),"",Spells!L33&amp;" ("&amp;Spells!M33&amp;")")</f>
      </c>
      <c r="J368" s="112"/>
      <c r="K368" s="112"/>
      <c r="L368" s="158"/>
      <c r="M368" s="41">
        <f>G397+1</f>
        <v>61</v>
      </c>
      <c r="N368" s="231"/>
      <c r="O368" s="112">
        <f>IF(OR(T$482&lt;1,Spells!L63=""),"",Spells!L63&amp;" ("&amp;Spells!M63&amp;")")</f>
      </c>
      <c r="P368" s="112"/>
      <c r="Q368" s="112"/>
      <c r="R368" s="158"/>
      <c r="S368" s="41">
        <v>91</v>
      </c>
      <c r="T368" s="231"/>
      <c r="U368" s="112">
        <f>IF(OR(T$482&lt;1,Spells!L93=""),"",Spells!L93&amp;" ("&amp;Spells!M93&amp;")")</f>
      </c>
      <c r="V368" s="112"/>
      <c r="W368" s="112"/>
      <c r="X368" s="158"/>
    </row>
    <row r="369" spans="1:24" ht="12.75">
      <c r="A369" s="41">
        <v>2</v>
      </c>
      <c r="B369" s="231"/>
      <c r="C369" s="112">
        <f>IF(OR(T$482&lt;1,Spells!L4=""),"",Spells!L4&amp;" ("&amp;Spells!M4&amp;")")</f>
      </c>
      <c r="D369" s="112"/>
      <c r="E369" s="112"/>
      <c r="F369" s="158"/>
      <c r="G369" s="41">
        <f aca="true" t="shared" si="30" ref="G369:G397">G368+1</f>
        <v>32</v>
      </c>
      <c r="H369" s="231"/>
      <c r="I369" s="112">
        <f>IF(OR(T$482&lt;1,Spells!L34=""),"",Spells!L34&amp;" ("&amp;Spells!M34&amp;")")</f>
      </c>
      <c r="J369" s="112"/>
      <c r="K369" s="112"/>
      <c r="L369" s="158"/>
      <c r="M369" s="41">
        <f aca="true" t="shared" si="31" ref="M369:M397">M368+1</f>
        <v>62</v>
      </c>
      <c r="N369" s="231"/>
      <c r="O369" s="112">
        <f>IF(OR(T$482&lt;1,Spells!L64=""),"",Spells!L64&amp;" ("&amp;Spells!M64&amp;")")</f>
      </c>
      <c r="P369" s="112"/>
      <c r="Q369" s="112"/>
      <c r="R369" s="158"/>
      <c r="S369" s="41">
        <f>S368+1</f>
        <v>92</v>
      </c>
      <c r="T369" s="231"/>
      <c r="U369" s="112">
        <f>IF(OR(T$482&lt;1,Spells!L94=""),"",Spells!L94&amp;" ("&amp;Spells!M94&amp;")")</f>
      </c>
      <c r="V369" s="112"/>
      <c r="W369" s="112"/>
      <c r="X369" s="158"/>
    </row>
    <row r="370" spans="1:24" ht="12.75">
      <c r="A370" s="41">
        <f>A369+1</f>
        <v>3</v>
      </c>
      <c r="B370" s="231"/>
      <c r="C370" s="112">
        <f>IF(OR(T$482&lt;1,Spells!L5=""),"",Spells!L5&amp;" ("&amp;Spells!M5&amp;")")</f>
      </c>
      <c r="D370" s="112"/>
      <c r="E370" s="112"/>
      <c r="F370" s="158"/>
      <c r="G370" s="41">
        <f t="shared" si="30"/>
        <v>33</v>
      </c>
      <c r="H370" s="231"/>
      <c r="I370" s="112">
        <f>IF(OR(T$482&lt;1,Spells!L35=""),"",Spells!L35&amp;" ("&amp;Spells!M35&amp;")")</f>
      </c>
      <c r="J370" s="112"/>
      <c r="K370" s="112"/>
      <c r="L370" s="158"/>
      <c r="M370" s="41">
        <f t="shared" si="31"/>
        <v>63</v>
      </c>
      <c r="N370" s="231"/>
      <c r="O370" s="112">
        <f>IF(OR(T$482&lt;1,Spells!L65=""),"",Spells!L65&amp;" ("&amp;Spells!M65&amp;")")</f>
      </c>
      <c r="P370" s="112"/>
      <c r="Q370" s="112"/>
      <c r="R370" s="158"/>
      <c r="S370" s="41">
        <f aca="true" t="shared" si="32" ref="S370:S397">S369+1</f>
        <v>93</v>
      </c>
      <c r="T370" s="231"/>
      <c r="U370" s="112">
        <f>IF(OR(T$482&lt;1,Spells!L95=""),"",Spells!L95&amp;" ("&amp;Spells!M95&amp;")")</f>
      </c>
      <c r="V370" s="112"/>
      <c r="W370" s="112"/>
      <c r="X370" s="158"/>
    </row>
    <row r="371" spans="1:24" ht="12.75">
      <c r="A371" s="41">
        <f aca="true" t="shared" si="33" ref="A371:A392">A370+1</f>
        <v>4</v>
      </c>
      <c r="B371" s="231"/>
      <c r="C371" s="112">
        <f>IF(OR(T$482&lt;1,Spells!L6=""),"",Spells!L6&amp;" ("&amp;Spells!M6&amp;")")</f>
      </c>
      <c r="D371" s="112"/>
      <c r="E371" s="112"/>
      <c r="F371" s="158"/>
      <c r="G371" s="41">
        <f t="shared" si="30"/>
        <v>34</v>
      </c>
      <c r="H371" s="231"/>
      <c r="I371" s="112">
        <f>IF(OR(T$482&lt;1,Spells!L36=""),"",Spells!L36&amp;" ("&amp;Spells!M36&amp;")")</f>
      </c>
      <c r="J371" s="112"/>
      <c r="K371" s="112"/>
      <c r="L371" s="158"/>
      <c r="M371" s="41">
        <f t="shared" si="31"/>
        <v>64</v>
      </c>
      <c r="N371" s="231"/>
      <c r="O371" s="112">
        <f>IF(OR(T$482&lt;1,Spells!L66=""),"",Spells!L66&amp;" ("&amp;Spells!M66&amp;")")</f>
      </c>
      <c r="P371" s="112"/>
      <c r="Q371" s="112"/>
      <c r="R371" s="158"/>
      <c r="S371" s="41">
        <f t="shared" si="32"/>
        <v>94</v>
      </c>
      <c r="T371" s="231"/>
      <c r="U371" s="112">
        <f>IF(OR(T$482&lt;1,Spells!L96=""),"",Spells!L96&amp;" ("&amp;Spells!M96&amp;")")</f>
      </c>
      <c r="V371" s="112"/>
      <c r="W371" s="112"/>
      <c r="X371" s="158"/>
    </row>
    <row r="372" spans="1:24" ht="12.75">
      <c r="A372" s="41">
        <f t="shared" si="33"/>
        <v>5</v>
      </c>
      <c r="B372" s="231"/>
      <c r="C372" s="112">
        <f>IF(OR(T$482&lt;1,Spells!L7=""),"",Spells!L7&amp;" ("&amp;Spells!M7&amp;")")</f>
      </c>
      <c r="D372" s="112"/>
      <c r="E372" s="112"/>
      <c r="F372" s="158"/>
      <c r="G372" s="41">
        <f t="shared" si="30"/>
        <v>35</v>
      </c>
      <c r="H372" s="231"/>
      <c r="I372" s="112">
        <f>IF(OR(T$482&lt;1,Spells!L37=""),"",Spells!L37&amp;" ("&amp;Spells!M37&amp;")")</f>
      </c>
      <c r="J372" s="112"/>
      <c r="K372" s="112"/>
      <c r="L372" s="158"/>
      <c r="M372" s="41">
        <f t="shared" si="31"/>
        <v>65</v>
      </c>
      <c r="N372" s="231"/>
      <c r="O372" s="112">
        <f>IF(OR(T$482&lt;1,Spells!L67=""),"",Spells!L67&amp;" ("&amp;Spells!M67&amp;")")</f>
      </c>
      <c r="P372" s="112"/>
      <c r="Q372" s="112"/>
      <c r="R372" s="158"/>
      <c r="S372" s="41">
        <f t="shared" si="32"/>
        <v>95</v>
      </c>
      <c r="T372" s="231"/>
      <c r="U372" s="112">
        <f>IF(OR(T$482&lt;1,Spells!L97=""),"",Spells!L97&amp;" ("&amp;Spells!M97&amp;")")</f>
      </c>
      <c r="V372" s="112"/>
      <c r="W372" s="112"/>
      <c r="X372" s="158"/>
    </row>
    <row r="373" spans="1:24" ht="12.75">
      <c r="A373" s="41">
        <f t="shared" si="33"/>
        <v>6</v>
      </c>
      <c r="B373" s="231"/>
      <c r="C373" s="112">
        <f>IF(OR(T$482&lt;1,Spells!L8=""),"",Spells!L8&amp;" ("&amp;Spells!M8&amp;")")</f>
      </c>
      <c r="D373" s="112"/>
      <c r="E373" s="112"/>
      <c r="F373" s="158"/>
      <c r="G373" s="41">
        <f t="shared" si="30"/>
        <v>36</v>
      </c>
      <c r="H373" s="231"/>
      <c r="I373" s="112">
        <f>IF(OR(T$482&lt;1,Spells!L38=""),"",Spells!L38&amp;" ("&amp;Spells!M38&amp;")")</f>
      </c>
      <c r="J373" s="112"/>
      <c r="K373" s="112"/>
      <c r="L373" s="158"/>
      <c r="M373" s="41">
        <f t="shared" si="31"/>
        <v>66</v>
      </c>
      <c r="N373" s="231"/>
      <c r="O373" s="112">
        <f>IF(OR(T$482&lt;1,Spells!L68=""),"",Spells!L68&amp;" ("&amp;Spells!M68&amp;")")</f>
      </c>
      <c r="P373" s="112"/>
      <c r="Q373" s="112"/>
      <c r="R373" s="158"/>
      <c r="S373" s="41">
        <f t="shared" si="32"/>
        <v>96</v>
      </c>
      <c r="T373" s="231"/>
      <c r="U373" s="112">
        <f>IF(OR(T$482&lt;1,Spells!L98=""),"",Spells!L98&amp;" ("&amp;Spells!M98&amp;")")</f>
      </c>
      <c r="V373" s="112"/>
      <c r="W373" s="112"/>
      <c r="X373" s="158"/>
    </row>
    <row r="374" spans="1:24" ht="12.75">
      <c r="A374" s="41">
        <f t="shared" si="33"/>
        <v>7</v>
      </c>
      <c r="B374" s="231"/>
      <c r="C374" s="112">
        <f>IF(OR(T$482&lt;1,Spells!L9=""),"",Spells!L9&amp;" ("&amp;Spells!M9&amp;")")</f>
      </c>
      <c r="D374" s="112"/>
      <c r="E374" s="112"/>
      <c r="F374" s="158"/>
      <c r="G374" s="41">
        <f t="shared" si="30"/>
        <v>37</v>
      </c>
      <c r="H374" s="231"/>
      <c r="I374" s="112">
        <f>IF(OR(T$482&lt;1,Spells!L39=""),"",Spells!L39&amp;" ("&amp;Spells!M39&amp;")")</f>
      </c>
      <c r="J374" s="112"/>
      <c r="K374" s="112"/>
      <c r="L374" s="158"/>
      <c r="M374" s="41">
        <f t="shared" si="31"/>
        <v>67</v>
      </c>
      <c r="N374" s="231"/>
      <c r="O374" s="112">
        <f>IF(OR(T$482&lt;1,Spells!L69=""),"",Spells!L69&amp;" ("&amp;Spells!M69&amp;")")</f>
      </c>
      <c r="P374" s="112"/>
      <c r="Q374" s="112"/>
      <c r="R374" s="158"/>
      <c r="S374" s="41">
        <f t="shared" si="32"/>
        <v>97</v>
      </c>
      <c r="T374" s="231"/>
      <c r="U374" s="112">
        <f>IF(OR(T$482&lt;1,Spells!L99=""),"",Spells!L99&amp;" ("&amp;Spells!M99&amp;")")</f>
      </c>
      <c r="V374" s="112"/>
      <c r="W374" s="112"/>
      <c r="X374" s="158"/>
    </row>
    <row r="375" spans="1:24" ht="12.75">
      <c r="A375" s="41">
        <f t="shared" si="33"/>
        <v>8</v>
      </c>
      <c r="B375" s="231"/>
      <c r="C375" s="112">
        <f>IF(OR(T$482&lt;1,Spells!L10=""),"",Spells!L10&amp;" ("&amp;Spells!M10&amp;")")</f>
      </c>
      <c r="D375" s="112"/>
      <c r="E375" s="112"/>
      <c r="F375" s="158"/>
      <c r="G375" s="41">
        <f t="shared" si="30"/>
        <v>38</v>
      </c>
      <c r="H375" s="231"/>
      <c r="I375" s="112">
        <f>IF(OR(T$482&lt;1,Spells!L40=""),"",Spells!L40&amp;" ("&amp;Spells!M40&amp;")")</f>
      </c>
      <c r="J375" s="112"/>
      <c r="K375" s="112"/>
      <c r="L375" s="158"/>
      <c r="M375" s="41">
        <f t="shared" si="31"/>
        <v>68</v>
      </c>
      <c r="N375" s="231"/>
      <c r="O375" s="112">
        <f>IF(OR(T$482&lt;1,Spells!L70=""),"",Spells!L70&amp;" ("&amp;Spells!M70&amp;")")</f>
      </c>
      <c r="P375" s="112"/>
      <c r="Q375" s="112"/>
      <c r="R375" s="158"/>
      <c r="S375" s="41">
        <f t="shared" si="32"/>
        <v>98</v>
      </c>
      <c r="T375" s="231"/>
      <c r="U375" s="112">
        <f>IF(OR(T$482&lt;1,Spells!L100=""),"",Spells!L100&amp;" ("&amp;Spells!M100&amp;")")</f>
      </c>
      <c r="V375" s="112"/>
      <c r="W375" s="112"/>
      <c r="X375" s="158"/>
    </row>
    <row r="376" spans="1:24" ht="12.75">
      <c r="A376" s="41">
        <f t="shared" si="33"/>
        <v>9</v>
      </c>
      <c r="B376" s="231"/>
      <c r="C376" s="112">
        <f>IF(OR(T$482&lt;1,Spells!L11=""),"",Spells!L11&amp;" ("&amp;Spells!M11&amp;")")</f>
      </c>
      <c r="D376" s="112"/>
      <c r="E376" s="112"/>
      <c r="F376" s="158"/>
      <c r="G376" s="41">
        <f t="shared" si="30"/>
        <v>39</v>
      </c>
      <c r="H376" s="231"/>
      <c r="I376" s="112">
        <f>IF(OR(T$482&lt;1,Spells!L41=""),"",Spells!L41&amp;" ("&amp;Spells!M41&amp;")")</f>
      </c>
      <c r="J376" s="112"/>
      <c r="K376" s="112"/>
      <c r="L376" s="158"/>
      <c r="M376" s="41">
        <f t="shared" si="31"/>
        <v>69</v>
      </c>
      <c r="N376" s="231"/>
      <c r="O376" s="112">
        <f>IF(OR(T$482&lt;1,Spells!L71=""),"",Spells!L71&amp;" ("&amp;Spells!M71&amp;")")</f>
      </c>
      <c r="P376" s="112"/>
      <c r="Q376" s="112"/>
      <c r="R376" s="158"/>
      <c r="S376" s="41">
        <f t="shared" si="32"/>
        <v>99</v>
      </c>
      <c r="T376" s="231"/>
      <c r="U376" s="112">
        <f>IF(OR(T$482&lt;1,Spells!L101=""),"",Spells!L101&amp;" ("&amp;Spells!M101&amp;")")</f>
      </c>
      <c r="V376" s="112"/>
      <c r="W376" s="112"/>
      <c r="X376" s="158"/>
    </row>
    <row r="377" spans="1:24" ht="12.75">
      <c r="A377" s="41">
        <f t="shared" si="33"/>
        <v>10</v>
      </c>
      <c r="B377" s="231"/>
      <c r="C377" s="112">
        <f>IF(OR(T$482&lt;1,Spells!L12=""),"",Spells!L12&amp;" ("&amp;Spells!M12&amp;")")</f>
      </c>
      <c r="D377" s="112"/>
      <c r="E377" s="112"/>
      <c r="F377" s="158"/>
      <c r="G377" s="41">
        <f t="shared" si="30"/>
        <v>40</v>
      </c>
      <c r="H377" s="231"/>
      <c r="I377" s="112">
        <f>IF(OR(T$482&lt;1,Spells!L42=""),"",Spells!L42&amp;" ("&amp;Spells!M42&amp;")")</f>
      </c>
      <c r="J377" s="112"/>
      <c r="K377" s="112"/>
      <c r="L377" s="158"/>
      <c r="M377" s="41">
        <f t="shared" si="31"/>
        <v>70</v>
      </c>
      <c r="N377" s="231"/>
      <c r="O377" s="112">
        <f>IF(OR(T$482&lt;1,Spells!L72=""),"",Spells!L72&amp;" ("&amp;Spells!M72&amp;")")</f>
      </c>
      <c r="P377" s="112"/>
      <c r="Q377" s="112"/>
      <c r="R377" s="158"/>
      <c r="S377" s="41">
        <f t="shared" si="32"/>
        <v>100</v>
      </c>
      <c r="T377" s="231"/>
      <c r="U377" s="112">
        <f>IF(OR(T$482&lt;1,Spells!L102=""),"",Spells!L102&amp;" ("&amp;Spells!M102&amp;")")</f>
      </c>
      <c r="V377" s="112"/>
      <c r="W377" s="112"/>
      <c r="X377" s="158"/>
    </row>
    <row r="378" spans="1:24" ht="12.75">
      <c r="A378" s="41">
        <f t="shared" si="33"/>
        <v>11</v>
      </c>
      <c r="B378" s="231"/>
      <c r="C378" s="112">
        <f>IF(OR(T$482&lt;1,Spells!L13=""),"",Spells!L13&amp;" ("&amp;Spells!M13&amp;")")</f>
      </c>
      <c r="D378" s="112"/>
      <c r="E378" s="112"/>
      <c r="F378" s="158"/>
      <c r="G378" s="41">
        <f t="shared" si="30"/>
        <v>41</v>
      </c>
      <c r="H378" s="231"/>
      <c r="I378" s="112">
        <f>IF(OR(T$482&lt;1,Spells!L43=""),"",Spells!L43&amp;" ("&amp;Spells!M43&amp;")")</f>
      </c>
      <c r="J378" s="112"/>
      <c r="K378" s="112"/>
      <c r="L378" s="158"/>
      <c r="M378" s="41">
        <f t="shared" si="31"/>
        <v>71</v>
      </c>
      <c r="N378" s="231"/>
      <c r="O378" s="112">
        <f>IF(OR(T$482&lt;1,Spells!L73=""),"",Spells!L73&amp;" ("&amp;Spells!M73&amp;")")</f>
      </c>
      <c r="P378" s="112"/>
      <c r="Q378" s="112"/>
      <c r="R378" s="158"/>
      <c r="S378" s="41">
        <f t="shared" si="32"/>
        <v>101</v>
      </c>
      <c r="T378" s="231"/>
      <c r="U378" s="112">
        <f>IF(OR(T$482&lt;1,Spells!L103=""),"",Spells!L103&amp;" ("&amp;Spells!M103&amp;")")</f>
      </c>
      <c r="V378" s="112"/>
      <c r="W378" s="112"/>
      <c r="X378" s="158"/>
    </row>
    <row r="379" spans="1:24" ht="12.75">
      <c r="A379" s="41">
        <f t="shared" si="33"/>
        <v>12</v>
      </c>
      <c r="B379" s="231"/>
      <c r="C379" s="112">
        <f>IF(OR(T$482&lt;1,Spells!L14=""),"",Spells!L14&amp;" ("&amp;Spells!M14&amp;")")</f>
      </c>
      <c r="D379" s="112"/>
      <c r="E379" s="112"/>
      <c r="F379" s="158"/>
      <c r="G379" s="41">
        <f t="shared" si="30"/>
        <v>42</v>
      </c>
      <c r="H379" s="231"/>
      <c r="I379" s="112">
        <f>IF(OR(T$482&lt;1,Spells!L44=""),"",Spells!L44&amp;" ("&amp;Spells!M44&amp;")")</f>
      </c>
      <c r="J379" s="112"/>
      <c r="K379" s="112"/>
      <c r="L379" s="158"/>
      <c r="M379" s="41">
        <f t="shared" si="31"/>
        <v>72</v>
      </c>
      <c r="N379" s="231"/>
      <c r="O379" s="112">
        <f>IF(OR(T$482&lt;1,Spells!L74=""),"",Spells!L74&amp;" ("&amp;Spells!M74&amp;")")</f>
      </c>
      <c r="P379" s="112"/>
      <c r="Q379" s="112"/>
      <c r="R379" s="158"/>
      <c r="S379" s="41">
        <f t="shared" si="32"/>
        <v>102</v>
      </c>
      <c r="T379" s="231"/>
      <c r="U379" s="112">
        <f>IF(OR(T$482&lt;1,Spells!L104=""),"",Spells!L104&amp;" ("&amp;Spells!M104&amp;")")</f>
      </c>
      <c r="V379" s="112"/>
      <c r="W379" s="112"/>
      <c r="X379" s="158"/>
    </row>
    <row r="380" spans="1:24" ht="12.75">
      <c r="A380" s="41">
        <f t="shared" si="33"/>
        <v>13</v>
      </c>
      <c r="B380" s="231"/>
      <c r="C380" s="112">
        <f>IF(OR(T$482&lt;1,Spells!L15=""),"",Spells!L15&amp;" ("&amp;Spells!M15&amp;")")</f>
      </c>
      <c r="D380" s="112"/>
      <c r="E380" s="112"/>
      <c r="F380" s="158"/>
      <c r="G380" s="41">
        <f t="shared" si="30"/>
        <v>43</v>
      </c>
      <c r="H380" s="231"/>
      <c r="I380" s="112">
        <f>IF(OR(T$482&lt;1,Spells!L45=""),"",Spells!L45&amp;" ("&amp;Spells!M45&amp;")")</f>
      </c>
      <c r="J380" s="112"/>
      <c r="K380" s="112"/>
      <c r="L380" s="158"/>
      <c r="M380" s="41">
        <f t="shared" si="31"/>
        <v>73</v>
      </c>
      <c r="N380" s="231"/>
      <c r="O380" s="112">
        <f>IF(OR(T$482&lt;1,Spells!L75=""),"",Spells!L75&amp;" ("&amp;Spells!M75&amp;")")</f>
      </c>
      <c r="P380" s="112"/>
      <c r="Q380" s="112"/>
      <c r="R380" s="158"/>
      <c r="S380" s="41">
        <f t="shared" si="32"/>
        <v>103</v>
      </c>
      <c r="T380" s="231"/>
      <c r="U380" s="112">
        <f>IF(OR(T$482&lt;1,Spells!L105=""),"",Spells!L105&amp;" ("&amp;Spells!M105&amp;")")</f>
      </c>
      <c r="V380" s="112"/>
      <c r="W380" s="112"/>
      <c r="X380" s="158"/>
    </row>
    <row r="381" spans="1:24" ht="12.75">
      <c r="A381" s="41">
        <f t="shared" si="33"/>
        <v>14</v>
      </c>
      <c r="B381" s="231"/>
      <c r="C381" s="112">
        <f>IF(OR(T$482&lt;1,Spells!L16=""),"",Spells!L16&amp;" ("&amp;Spells!M16&amp;")")</f>
      </c>
      <c r="D381" s="112"/>
      <c r="E381" s="112"/>
      <c r="F381" s="158"/>
      <c r="G381" s="41">
        <f t="shared" si="30"/>
        <v>44</v>
      </c>
      <c r="H381" s="231"/>
      <c r="I381" s="112">
        <f>IF(OR(T$482&lt;1,Spells!L46=""),"",Spells!L46&amp;" ("&amp;Spells!M46&amp;")")</f>
      </c>
      <c r="J381" s="112"/>
      <c r="K381" s="112"/>
      <c r="L381" s="158"/>
      <c r="M381" s="41">
        <f t="shared" si="31"/>
        <v>74</v>
      </c>
      <c r="N381" s="231"/>
      <c r="O381" s="112">
        <f>IF(OR(T$482&lt;1,Spells!L76=""),"",Spells!L76&amp;" ("&amp;Spells!M76&amp;")")</f>
      </c>
      <c r="P381" s="112"/>
      <c r="Q381" s="112"/>
      <c r="R381" s="158"/>
      <c r="S381" s="41">
        <f t="shared" si="32"/>
        <v>104</v>
      </c>
      <c r="T381" s="231"/>
      <c r="U381" s="112">
        <f>IF(OR(T$482&lt;1,Spells!L106=""),"",Spells!L106&amp;" ("&amp;Spells!M106&amp;")")</f>
      </c>
      <c r="V381" s="112"/>
      <c r="W381" s="112"/>
      <c r="X381" s="158"/>
    </row>
    <row r="382" spans="1:24" ht="12.75">
      <c r="A382" s="41">
        <f t="shared" si="33"/>
        <v>15</v>
      </c>
      <c r="B382" s="231"/>
      <c r="C382" s="112">
        <f>IF(OR(T$482&lt;1,Spells!L17=""),"",Spells!L17&amp;" ("&amp;Spells!M17&amp;")")</f>
      </c>
      <c r="D382" s="112"/>
      <c r="E382" s="112"/>
      <c r="F382" s="158"/>
      <c r="G382" s="41">
        <f t="shared" si="30"/>
        <v>45</v>
      </c>
      <c r="H382" s="231"/>
      <c r="I382" s="112">
        <f>IF(OR(T$482&lt;1,Spells!L47=""),"",Spells!L47&amp;" ("&amp;Spells!M47&amp;")")</f>
      </c>
      <c r="J382" s="112"/>
      <c r="K382" s="112"/>
      <c r="L382" s="158"/>
      <c r="M382" s="41">
        <f t="shared" si="31"/>
        <v>75</v>
      </c>
      <c r="N382" s="231"/>
      <c r="O382" s="112">
        <f>IF(OR(T$482&lt;1,Spells!L77=""),"",Spells!L77&amp;" ("&amp;Spells!M77&amp;")")</f>
      </c>
      <c r="P382" s="112"/>
      <c r="Q382" s="112"/>
      <c r="R382" s="158"/>
      <c r="S382" s="41">
        <f t="shared" si="32"/>
        <v>105</v>
      </c>
      <c r="T382" s="231"/>
      <c r="U382" s="112">
        <f>IF(OR(T$482&lt;1,Spells!L107=""),"",Spells!L107&amp;" ("&amp;Spells!M107&amp;")")</f>
      </c>
      <c r="V382" s="112"/>
      <c r="W382" s="112"/>
      <c r="X382" s="158"/>
    </row>
    <row r="383" spans="1:24" ht="12.75">
      <c r="A383" s="41">
        <f t="shared" si="33"/>
        <v>16</v>
      </c>
      <c r="B383" s="231"/>
      <c r="C383" s="112">
        <f>IF(OR(T$482&lt;1,Spells!L18=""),"",Spells!L18&amp;" ("&amp;Spells!M18&amp;")")</f>
      </c>
      <c r="D383" s="112"/>
      <c r="E383" s="112"/>
      <c r="F383" s="158"/>
      <c r="G383" s="41">
        <f t="shared" si="30"/>
        <v>46</v>
      </c>
      <c r="H383" s="231"/>
      <c r="I383" s="112">
        <f>IF(OR(T$482&lt;1,Spells!L48=""),"",Spells!L48&amp;" ("&amp;Spells!M48&amp;")")</f>
      </c>
      <c r="J383" s="112"/>
      <c r="K383" s="112"/>
      <c r="L383" s="158"/>
      <c r="M383" s="41">
        <f t="shared" si="31"/>
        <v>76</v>
      </c>
      <c r="N383" s="417"/>
      <c r="O383" s="112">
        <f>IF(OR(T$482&lt;1,Spells!L78=""),"",Spells!L78&amp;" ("&amp;Spells!M78&amp;")")</f>
      </c>
      <c r="P383" s="114"/>
      <c r="Q383" s="114"/>
      <c r="R383" s="418"/>
      <c r="S383" s="41">
        <f t="shared" si="32"/>
        <v>106</v>
      </c>
      <c r="T383" s="417"/>
      <c r="U383" s="112">
        <f>IF(OR(T$482&lt;1,Spells!L108=""),"",Spells!L108&amp;" ("&amp;Spells!M108&amp;")")</f>
      </c>
      <c r="V383" s="114"/>
      <c r="W383" s="114"/>
      <c r="X383" s="418"/>
    </row>
    <row r="384" spans="1:24" ht="12.75">
      <c r="A384" s="41">
        <f t="shared" si="33"/>
        <v>17</v>
      </c>
      <c r="B384" s="231"/>
      <c r="C384" s="112">
        <f>IF(OR(T$482&lt;1,Spells!L19=""),"",Spells!L19&amp;" ("&amp;Spells!M19&amp;")")</f>
      </c>
      <c r="D384" s="112"/>
      <c r="E384" s="112"/>
      <c r="F384" s="158"/>
      <c r="G384" s="41">
        <f t="shared" si="30"/>
        <v>47</v>
      </c>
      <c r="H384" s="231"/>
      <c r="I384" s="112">
        <f>IF(OR(T$482&lt;1,Spells!L49=""),"",Spells!L49&amp;" ("&amp;Spells!M49&amp;")")</f>
      </c>
      <c r="J384" s="112"/>
      <c r="K384" s="112"/>
      <c r="L384" s="158"/>
      <c r="M384" s="41">
        <f t="shared" si="31"/>
        <v>77</v>
      </c>
      <c r="N384" s="231"/>
      <c r="O384" s="112">
        <f>IF(OR(T$482&lt;1,Spells!L79=""),"",Spells!L79&amp;" ("&amp;Spells!M79&amp;")")</f>
      </c>
      <c r="P384" s="112"/>
      <c r="Q384" s="112"/>
      <c r="R384" s="158"/>
      <c r="S384" s="41">
        <f t="shared" si="32"/>
        <v>107</v>
      </c>
      <c r="T384" s="231"/>
      <c r="U384" s="112">
        <f>IF(OR(T$482&lt;1,Spells!L109=""),"",Spells!L109&amp;" ("&amp;Spells!M109&amp;")")</f>
      </c>
      <c r="V384" s="112"/>
      <c r="W384" s="112"/>
      <c r="X384" s="158"/>
    </row>
    <row r="385" spans="1:24" ht="12.75">
      <c r="A385" s="41">
        <f t="shared" si="33"/>
        <v>18</v>
      </c>
      <c r="B385" s="231"/>
      <c r="C385" s="112">
        <f>IF(OR(T$482&lt;1,Spells!L20=""),"",Spells!L20&amp;" ("&amp;Spells!M20&amp;")")</f>
      </c>
      <c r="D385" s="112"/>
      <c r="E385" s="112"/>
      <c r="F385" s="158"/>
      <c r="G385" s="41">
        <f t="shared" si="30"/>
        <v>48</v>
      </c>
      <c r="H385" s="231"/>
      <c r="I385" s="112">
        <f>IF(OR(T$482&lt;1,Spells!L50=""),"",Spells!L50&amp;" ("&amp;Spells!M50&amp;")")</f>
      </c>
      <c r="J385" s="112"/>
      <c r="K385" s="112"/>
      <c r="L385" s="158"/>
      <c r="M385" s="41">
        <f t="shared" si="31"/>
        <v>78</v>
      </c>
      <c r="N385" s="231"/>
      <c r="O385" s="112">
        <f>IF(OR(T$482&lt;1,Spells!L80=""),"",Spells!L80&amp;" ("&amp;Spells!M80&amp;")")</f>
      </c>
      <c r="P385" s="112"/>
      <c r="Q385" s="112"/>
      <c r="R385" s="158"/>
      <c r="S385" s="41">
        <f t="shared" si="32"/>
        <v>108</v>
      </c>
      <c r="T385" s="231"/>
      <c r="U385" s="112">
        <f>IF(OR(T$482&lt;1,Spells!L110=""),"",Spells!L110&amp;" ("&amp;Spells!M110&amp;")")</f>
      </c>
      <c r="V385" s="112"/>
      <c r="W385" s="112"/>
      <c r="X385" s="158"/>
    </row>
    <row r="386" spans="1:24" ht="12.75">
      <c r="A386" s="41">
        <f t="shared" si="33"/>
        <v>19</v>
      </c>
      <c r="B386" s="231"/>
      <c r="C386" s="112">
        <f>IF(OR(T$482&lt;1,Spells!L21=""),"",Spells!L21&amp;" ("&amp;Spells!M21&amp;")")</f>
      </c>
      <c r="D386" s="112"/>
      <c r="E386" s="112"/>
      <c r="F386" s="158"/>
      <c r="G386" s="41">
        <f t="shared" si="30"/>
        <v>49</v>
      </c>
      <c r="H386" s="231"/>
      <c r="I386" s="112">
        <f>IF(OR(T$482&lt;1,Spells!L51=""),"",Spells!L51&amp;" ("&amp;Spells!M51&amp;")")</f>
      </c>
      <c r="J386" s="112"/>
      <c r="K386" s="112"/>
      <c r="L386" s="158"/>
      <c r="M386" s="41">
        <f t="shared" si="31"/>
        <v>79</v>
      </c>
      <c r="N386" s="231"/>
      <c r="O386" s="112">
        <f>IF(OR(T$482&lt;1,Spells!L81=""),"",Spells!L81&amp;" ("&amp;Spells!M81&amp;")")</f>
      </c>
      <c r="P386" s="112"/>
      <c r="Q386" s="112"/>
      <c r="R386" s="158"/>
      <c r="S386" s="41">
        <f t="shared" si="32"/>
        <v>109</v>
      </c>
      <c r="T386" s="231"/>
      <c r="U386" s="112">
        <f>IF(OR(T$482&lt;1,Spells!L111=""),"",Spells!L111&amp;" ("&amp;Spells!M111&amp;")")</f>
      </c>
      <c r="V386" s="112"/>
      <c r="W386" s="112"/>
      <c r="X386" s="158"/>
    </row>
    <row r="387" spans="1:24" ht="12.75">
      <c r="A387" s="41">
        <f t="shared" si="33"/>
        <v>20</v>
      </c>
      <c r="B387" s="231"/>
      <c r="C387" s="112">
        <f>IF(OR(T$482&lt;1,Spells!L22=""),"",Spells!L22&amp;" ("&amp;Spells!M22&amp;")")</f>
      </c>
      <c r="D387" s="112"/>
      <c r="E387" s="112"/>
      <c r="F387" s="158"/>
      <c r="G387" s="41">
        <f t="shared" si="30"/>
        <v>50</v>
      </c>
      <c r="H387" s="231"/>
      <c r="I387" s="112">
        <f>IF(OR(T$482&lt;1,Spells!L52=""),"",Spells!L52&amp;" ("&amp;Spells!M52&amp;")")</f>
      </c>
      <c r="J387" s="112"/>
      <c r="K387" s="112"/>
      <c r="L387" s="158"/>
      <c r="M387" s="41">
        <f t="shared" si="31"/>
        <v>80</v>
      </c>
      <c r="N387" s="231"/>
      <c r="O387" s="112">
        <f>IF(OR(T$482&lt;1,Spells!L82=""),"",Spells!L82&amp;" ("&amp;Spells!M82&amp;")")</f>
      </c>
      <c r="P387" s="112"/>
      <c r="Q387" s="112"/>
      <c r="R387" s="158"/>
      <c r="S387" s="41">
        <f t="shared" si="32"/>
        <v>110</v>
      </c>
      <c r="T387" s="231"/>
      <c r="U387" s="112">
        <f>IF(OR(T$482&lt;1,Spells!L112=""),"",Spells!L112&amp;" ("&amp;Spells!M112&amp;")")</f>
      </c>
      <c r="V387" s="112"/>
      <c r="W387" s="112"/>
      <c r="X387" s="158"/>
    </row>
    <row r="388" spans="1:24" ht="12.75">
      <c r="A388" s="41">
        <f t="shared" si="33"/>
        <v>21</v>
      </c>
      <c r="B388" s="417"/>
      <c r="C388" s="112">
        <f>IF(OR(T$482&lt;1,Spells!L23=""),"",Spells!L23&amp;" ("&amp;Spells!M23&amp;")")</f>
      </c>
      <c r="D388" s="114"/>
      <c r="E388" s="114"/>
      <c r="F388" s="418"/>
      <c r="G388" s="41">
        <f t="shared" si="30"/>
        <v>51</v>
      </c>
      <c r="H388" s="417"/>
      <c r="I388" s="112">
        <f>IF(OR(T$482&lt;1,Spells!L53=""),"",Spells!L53&amp;" ("&amp;Spells!M53&amp;")")</f>
      </c>
      <c r="J388" s="114"/>
      <c r="K388" s="114"/>
      <c r="L388" s="418"/>
      <c r="M388" s="41">
        <f t="shared" si="31"/>
        <v>81</v>
      </c>
      <c r="N388" s="231"/>
      <c r="O388" s="112">
        <f>IF(OR(T$482&lt;1,Spells!L83=""),"",Spells!L83&amp;" ("&amp;Spells!M83&amp;")")</f>
      </c>
      <c r="P388" s="112"/>
      <c r="Q388" s="112"/>
      <c r="R388" s="158"/>
      <c r="S388" s="41">
        <f t="shared" si="32"/>
        <v>111</v>
      </c>
      <c r="T388" s="231"/>
      <c r="U388" s="112">
        <f>IF(OR(T$482&lt;1,Spells!L113=""),"",Spells!L113&amp;" ("&amp;Spells!M113&amp;")")</f>
      </c>
      <c r="V388" s="112"/>
      <c r="W388" s="112"/>
      <c r="X388" s="158"/>
    </row>
    <row r="389" spans="1:24" ht="12.75">
      <c r="A389" s="41">
        <f t="shared" si="33"/>
        <v>22</v>
      </c>
      <c r="B389" s="231"/>
      <c r="C389" s="112">
        <f>IF(OR(T$482&lt;1,Spells!L24=""),"",Spells!L24&amp;" ("&amp;Spells!M24&amp;")")</f>
      </c>
      <c r="D389" s="112"/>
      <c r="E389" s="112"/>
      <c r="F389" s="158"/>
      <c r="G389" s="41">
        <f t="shared" si="30"/>
        <v>52</v>
      </c>
      <c r="H389" s="231"/>
      <c r="I389" s="112">
        <f>IF(OR(T$482&lt;1,Spells!L54=""),"",Spells!L54&amp;" ("&amp;Spells!M54&amp;")")</f>
      </c>
      <c r="J389" s="112"/>
      <c r="K389" s="112"/>
      <c r="L389" s="158"/>
      <c r="M389" s="41">
        <f t="shared" si="31"/>
        <v>82</v>
      </c>
      <c r="N389" s="231"/>
      <c r="O389" s="112">
        <f>IF(OR(T$482&lt;1,Spells!L84=""),"",Spells!L84&amp;" ("&amp;Spells!M84&amp;")")</f>
      </c>
      <c r="P389" s="112"/>
      <c r="Q389" s="112"/>
      <c r="R389" s="158"/>
      <c r="S389" s="41">
        <f t="shared" si="32"/>
        <v>112</v>
      </c>
      <c r="T389" s="231"/>
      <c r="U389" s="112">
        <f>IF(OR(T$482&lt;1,Spells!L114=""),"",Spells!L114&amp;" ("&amp;Spells!M114&amp;")")</f>
      </c>
      <c r="V389" s="112"/>
      <c r="W389" s="112"/>
      <c r="X389" s="158"/>
    </row>
    <row r="390" spans="1:24" ht="12.75">
      <c r="A390" s="41">
        <f t="shared" si="33"/>
        <v>23</v>
      </c>
      <c r="B390" s="231"/>
      <c r="C390" s="112">
        <f>IF(OR(T$482&lt;1,Spells!L25=""),"",Spells!L25&amp;" ("&amp;Spells!M25&amp;")")</f>
      </c>
      <c r="D390" s="112"/>
      <c r="E390" s="112"/>
      <c r="F390" s="158"/>
      <c r="G390" s="41">
        <f t="shared" si="30"/>
        <v>53</v>
      </c>
      <c r="H390" s="231"/>
      <c r="I390" s="112">
        <f>IF(OR(T$482&lt;1,Spells!L55=""),"",Spells!L55&amp;" ("&amp;Spells!M55&amp;")")</f>
      </c>
      <c r="J390" s="112"/>
      <c r="K390" s="112"/>
      <c r="L390" s="158"/>
      <c r="M390" s="41">
        <f t="shared" si="31"/>
        <v>83</v>
      </c>
      <c r="N390" s="231"/>
      <c r="O390" s="112">
        <f>IF(OR(T$482&lt;1,Spells!L85=""),"",Spells!L85&amp;" ("&amp;Spells!M85&amp;")")</f>
      </c>
      <c r="P390" s="112"/>
      <c r="Q390" s="112"/>
      <c r="R390" s="158"/>
      <c r="S390" s="41">
        <f t="shared" si="32"/>
        <v>113</v>
      </c>
      <c r="T390" s="231"/>
      <c r="U390" s="112">
        <f>IF(OR(T$482&lt;1,Spells!L115=""),"",Spells!L115&amp;" ("&amp;Spells!M115&amp;")")</f>
      </c>
      <c r="V390" s="112"/>
      <c r="W390" s="112"/>
      <c r="X390" s="158"/>
    </row>
    <row r="391" spans="1:24" ht="12.75">
      <c r="A391" s="41">
        <f t="shared" si="33"/>
        <v>24</v>
      </c>
      <c r="B391" s="231"/>
      <c r="C391" s="112">
        <f>IF(OR(T$482&lt;1,Spells!L26=""),"",Spells!L26&amp;" ("&amp;Spells!M26&amp;")")</f>
      </c>
      <c r="D391" s="112"/>
      <c r="E391" s="112"/>
      <c r="F391" s="158"/>
      <c r="G391" s="41">
        <f t="shared" si="30"/>
        <v>54</v>
      </c>
      <c r="H391" s="231"/>
      <c r="I391" s="112">
        <f>IF(OR(T$482&lt;1,Spells!L56=""),"",Spells!L56&amp;" ("&amp;Spells!M56&amp;")")</f>
      </c>
      <c r="J391" s="112"/>
      <c r="K391" s="112"/>
      <c r="L391" s="158"/>
      <c r="M391" s="41">
        <f t="shared" si="31"/>
        <v>84</v>
      </c>
      <c r="N391" s="231"/>
      <c r="O391" s="112">
        <f>IF(OR(T$482&lt;1,Spells!L86=""),"",Spells!L86&amp;" ("&amp;Spells!M86&amp;")")</f>
      </c>
      <c r="P391" s="112"/>
      <c r="Q391" s="112"/>
      <c r="R391" s="158"/>
      <c r="S391" s="41">
        <f t="shared" si="32"/>
        <v>114</v>
      </c>
      <c r="T391" s="231"/>
      <c r="U391" s="112">
        <f>IF(OR(T$482&lt;1,Spells!L116=""),"",Spells!L116&amp;" ("&amp;Spells!M116&amp;")")</f>
      </c>
      <c r="V391" s="112"/>
      <c r="W391" s="112"/>
      <c r="X391" s="158"/>
    </row>
    <row r="392" spans="1:24" ht="12.75">
      <c r="A392" s="41">
        <f t="shared" si="33"/>
        <v>25</v>
      </c>
      <c r="B392" s="231"/>
      <c r="C392" s="112">
        <f>IF(OR(T$482&lt;1,Spells!L27=""),"",Spells!L27&amp;" ("&amp;Spells!M27&amp;")")</f>
      </c>
      <c r="D392" s="112"/>
      <c r="E392" s="112"/>
      <c r="F392" s="158"/>
      <c r="G392" s="41">
        <f t="shared" si="30"/>
        <v>55</v>
      </c>
      <c r="H392" s="231"/>
      <c r="I392" s="112">
        <f>IF(OR(T$482&lt;1,Spells!L57=""),"",Spells!L57&amp;" ("&amp;Spells!M57&amp;")")</f>
      </c>
      <c r="J392" s="112"/>
      <c r="K392" s="112"/>
      <c r="L392" s="158"/>
      <c r="M392" s="41">
        <f t="shared" si="31"/>
        <v>85</v>
      </c>
      <c r="N392" s="231"/>
      <c r="O392" s="112">
        <f>IF(OR(T$482&lt;1,Spells!L87=""),"",Spells!L87&amp;" ("&amp;Spells!M87&amp;")")</f>
      </c>
      <c r="P392" s="112"/>
      <c r="Q392" s="112"/>
      <c r="R392" s="158"/>
      <c r="S392" s="41">
        <f t="shared" si="32"/>
        <v>115</v>
      </c>
      <c r="T392" s="231"/>
      <c r="U392" s="112">
        <f>IF(OR(T$482&lt;1,Spells!L117=""),"",Spells!L117&amp;" ("&amp;Spells!M117&amp;")")</f>
      </c>
      <c r="V392" s="112"/>
      <c r="W392" s="112"/>
      <c r="X392" s="158"/>
    </row>
    <row r="393" spans="1:24" ht="12.75">
      <c r="A393" s="41">
        <f>A392+1</f>
        <v>26</v>
      </c>
      <c r="B393" s="231"/>
      <c r="C393" s="112">
        <f>IF(OR(T$482&lt;1,Spells!L28=""),"",Spells!L28&amp;" ("&amp;Spells!M28&amp;")")</f>
      </c>
      <c r="D393" s="112"/>
      <c r="E393" s="112"/>
      <c r="F393" s="158"/>
      <c r="G393" s="41">
        <f t="shared" si="30"/>
        <v>56</v>
      </c>
      <c r="H393" s="231"/>
      <c r="I393" s="112">
        <f>IF(OR(T$482&lt;1,Spells!L58=""),"",Spells!L58&amp;" ("&amp;Spells!M58&amp;")")</f>
      </c>
      <c r="J393" s="112"/>
      <c r="K393" s="112"/>
      <c r="L393" s="158"/>
      <c r="M393" s="41">
        <f t="shared" si="31"/>
        <v>86</v>
      </c>
      <c r="N393" s="231"/>
      <c r="O393" s="112">
        <f>IF(OR(T$482&lt;1,Spells!L88=""),"",Spells!L88&amp;" ("&amp;Spells!M88&amp;")")</f>
      </c>
      <c r="P393" s="112"/>
      <c r="Q393" s="112"/>
      <c r="R393" s="158"/>
      <c r="S393" s="41">
        <f t="shared" si="32"/>
        <v>116</v>
      </c>
      <c r="T393" s="231"/>
      <c r="U393" s="112">
        <f>IF(OR(T$482&lt;1,Spells!L118=""),"",Spells!L118&amp;" ("&amp;Spells!M118&amp;")")</f>
      </c>
      <c r="V393" s="112"/>
      <c r="W393" s="112"/>
      <c r="X393" s="158"/>
    </row>
    <row r="394" spans="1:24" ht="12.75">
      <c r="A394" s="41">
        <f>A393+1</f>
        <v>27</v>
      </c>
      <c r="B394" s="231"/>
      <c r="C394" s="112">
        <f>IF(OR(T$482&lt;1,Spells!L29=""),"",Spells!L29&amp;" ("&amp;Spells!M29&amp;")")</f>
      </c>
      <c r="D394" s="112"/>
      <c r="E394" s="112"/>
      <c r="F394" s="158"/>
      <c r="G394" s="41">
        <f t="shared" si="30"/>
        <v>57</v>
      </c>
      <c r="H394" s="231"/>
      <c r="I394" s="112">
        <f>IF(OR(T$482&lt;1,Spells!L59=""),"",Spells!L59&amp;" ("&amp;Spells!M59&amp;")")</f>
      </c>
      <c r="J394" s="112"/>
      <c r="K394" s="112"/>
      <c r="L394" s="158"/>
      <c r="M394" s="41">
        <f t="shared" si="31"/>
        <v>87</v>
      </c>
      <c r="N394" s="231"/>
      <c r="O394" s="112">
        <f>IF(OR(T$482&lt;1,Spells!L89=""),"",Spells!L89&amp;" ("&amp;Spells!M89&amp;")")</f>
      </c>
      <c r="P394" s="112"/>
      <c r="Q394" s="112"/>
      <c r="R394" s="158"/>
      <c r="S394" s="41">
        <f t="shared" si="32"/>
        <v>117</v>
      </c>
      <c r="T394" s="231"/>
      <c r="U394" s="112">
        <f>IF(OR(T$482&lt;1,Spells!L119=""),"",Spells!L119&amp;" ("&amp;Spells!M119&amp;")")</f>
      </c>
      <c r="V394" s="112"/>
      <c r="W394" s="112"/>
      <c r="X394" s="158"/>
    </row>
    <row r="395" spans="1:24" ht="12.75">
      <c r="A395" s="41">
        <f>A394+1</f>
        <v>28</v>
      </c>
      <c r="B395" s="231"/>
      <c r="C395" s="112">
        <f>IF(OR(T$482&lt;1,Spells!L30=""),"",Spells!L30&amp;" ("&amp;Spells!M30&amp;")")</f>
      </c>
      <c r="D395" s="112"/>
      <c r="E395" s="112"/>
      <c r="F395" s="158"/>
      <c r="G395" s="41">
        <f t="shared" si="30"/>
        <v>58</v>
      </c>
      <c r="H395" s="231"/>
      <c r="I395" s="112">
        <f>IF(OR(T$482&lt;1,Spells!L60=""),"",Spells!L60&amp;" ("&amp;Spells!M60&amp;")")</f>
      </c>
      <c r="J395" s="112"/>
      <c r="K395" s="112"/>
      <c r="L395" s="158"/>
      <c r="M395" s="41">
        <f t="shared" si="31"/>
        <v>88</v>
      </c>
      <c r="N395" s="231"/>
      <c r="O395" s="112">
        <f>IF(OR(T$482&lt;1,Spells!L90=""),"",Spells!L90&amp;" ("&amp;Spells!M90&amp;")")</f>
      </c>
      <c r="P395" s="112"/>
      <c r="Q395" s="112"/>
      <c r="R395" s="158"/>
      <c r="S395" s="41">
        <f t="shared" si="32"/>
        <v>118</v>
      </c>
      <c r="T395" s="231"/>
      <c r="U395" s="112">
        <f>IF(OR(T$482&lt;1,Spells!L120=""),"",Spells!L120&amp;" ("&amp;Spells!M120&amp;")")</f>
      </c>
      <c r="V395" s="112"/>
      <c r="W395" s="112"/>
      <c r="X395" s="158"/>
    </row>
    <row r="396" spans="1:24" ht="12.75">
      <c r="A396" s="41">
        <f>A395+1</f>
        <v>29</v>
      </c>
      <c r="B396" s="231"/>
      <c r="C396" s="112">
        <f>IF(OR(T$482&lt;1,Spells!L31=""),"",Spells!L31&amp;" ("&amp;Spells!M31&amp;")")</f>
      </c>
      <c r="D396" s="112"/>
      <c r="E396" s="112"/>
      <c r="F396" s="158"/>
      <c r="G396" s="41">
        <f t="shared" si="30"/>
        <v>59</v>
      </c>
      <c r="H396" s="231"/>
      <c r="I396" s="112">
        <f>IF(OR(T$482&lt;1,Spells!L61=""),"",Spells!L61&amp;" ("&amp;Spells!M61&amp;")")</f>
      </c>
      <c r="J396" s="112"/>
      <c r="K396" s="112"/>
      <c r="L396" s="158"/>
      <c r="M396" s="41">
        <f t="shared" si="31"/>
        <v>89</v>
      </c>
      <c r="N396" s="231"/>
      <c r="O396" s="112">
        <f>IF(OR(T$482&lt;1,Spells!L91=""),"",Spells!L91&amp;" ("&amp;Spells!M91&amp;")")</f>
      </c>
      <c r="P396" s="112"/>
      <c r="Q396" s="112"/>
      <c r="R396" s="158"/>
      <c r="S396" s="41">
        <f t="shared" si="32"/>
        <v>119</v>
      </c>
      <c r="T396" s="231"/>
      <c r="U396" s="112">
        <f>IF(OR(T$482&lt;1,Spells!L121=""),"",Spells!L121&amp;" ("&amp;Spells!M121&amp;")")</f>
      </c>
      <c r="V396" s="112"/>
      <c r="W396" s="112"/>
      <c r="X396" s="158"/>
    </row>
    <row r="397" spans="1:24" ht="13.5" thickBot="1">
      <c r="A397" s="41">
        <f>A396+1</f>
        <v>30</v>
      </c>
      <c r="B397" s="232"/>
      <c r="C397" s="162">
        <f>IF(OR(T$482&lt;1,Spells!L32=""),"",Spells!L32&amp;" ("&amp;Spells!M32&amp;")")</f>
      </c>
      <c r="D397" s="162"/>
      <c r="E397" s="162"/>
      <c r="F397" s="234"/>
      <c r="G397" s="41">
        <f t="shared" si="30"/>
        <v>60</v>
      </c>
      <c r="H397" s="232"/>
      <c r="I397" s="162">
        <f>IF(OR(T$482&lt;1,Spells!L62=""),"",Spells!L62&amp;" ("&amp;Spells!M62&amp;")")</f>
      </c>
      <c r="J397" s="162"/>
      <c r="K397" s="162"/>
      <c r="L397" s="234"/>
      <c r="M397" s="41">
        <f t="shared" si="31"/>
        <v>90</v>
      </c>
      <c r="N397" s="232"/>
      <c r="O397" s="162">
        <f>IF(OR(T$482&lt;1,Spells!L92=""),"",Spells!L92&amp;" ("&amp;Spells!M92&amp;")")</f>
      </c>
      <c r="P397" s="162"/>
      <c r="Q397" s="162"/>
      <c r="R397" s="234"/>
      <c r="S397" s="41">
        <f t="shared" si="32"/>
        <v>120</v>
      </c>
      <c r="T397" s="232"/>
      <c r="U397" s="162">
        <f>IF(OR(T$482&lt;1,Spells!L122=""),"",Spells!L122&amp;" ("&amp;Spells!M122&amp;")")</f>
      </c>
      <c r="V397" s="162"/>
      <c r="W397" s="162"/>
      <c r="X397" s="234"/>
    </row>
    <row r="398" ht="13.5" thickBot="1"/>
    <row r="399" spans="2:24" ht="12.75">
      <c r="B399" s="250" t="s">
        <v>828</v>
      </c>
      <c r="C399" s="157"/>
      <c r="D399" s="157"/>
      <c r="E399" s="157"/>
      <c r="F399" s="233"/>
      <c r="H399" s="250" t="s">
        <v>828</v>
      </c>
      <c r="I399" s="157"/>
      <c r="J399" s="157"/>
      <c r="K399" s="157"/>
      <c r="L399" s="233"/>
      <c r="N399" s="250" t="s">
        <v>828</v>
      </c>
      <c r="O399" s="157"/>
      <c r="P399" s="157"/>
      <c r="Q399" s="157"/>
      <c r="R399" s="233"/>
      <c r="T399" s="250" t="s">
        <v>828</v>
      </c>
      <c r="U399" s="157"/>
      <c r="V399" s="157"/>
      <c r="W399" s="157"/>
      <c r="X399" s="233"/>
    </row>
    <row r="400" spans="1:24" ht="12.75">
      <c r="A400" s="41">
        <v>1</v>
      </c>
      <c r="B400" s="231"/>
      <c r="C400" s="112">
        <f>IF(OR(T$483&lt;1,Spells!V3=""),"",Spells!V3&amp;" ("&amp;Spells!W3&amp;")")</f>
      </c>
      <c r="D400" s="112"/>
      <c r="E400" s="112"/>
      <c r="F400" s="158"/>
      <c r="G400" s="41">
        <f>A429+1</f>
        <v>31</v>
      </c>
      <c r="H400" s="231"/>
      <c r="I400" s="112">
        <f>IF(OR(T$483&lt;1,Spells!V33=""),"",Spells!V33&amp;" ("&amp;Spells!W33&amp;")")</f>
      </c>
      <c r="J400" s="112"/>
      <c r="K400" s="112"/>
      <c r="L400" s="158"/>
      <c r="M400" s="41">
        <f>G429+1</f>
        <v>61</v>
      </c>
      <c r="N400" s="231"/>
      <c r="O400" s="112">
        <f>IF(OR(T$483&lt;1,Spells!V63=""),"",Spells!V63&amp;" ("&amp;Spells!W63&amp;")")</f>
      </c>
      <c r="P400" s="112"/>
      <c r="Q400" s="112"/>
      <c r="R400" s="158"/>
      <c r="S400" s="41">
        <f>91</f>
        <v>91</v>
      </c>
      <c r="T400" s="231"/>
      <c r="U400" s="112">
        <f>IF(OR(T$483&lt;1,Spells!V93=""),"",Spells!V93&amp;" ("&amp;Spells!W93&amp;")")</f>
      </c>
      <c r="V400" s="112"/>
      <c r="W400" s="112"/>
      <c r="X400" s="158"/>
    </row>
    <row r="401" spans="1:24" ht="12.75">
      <c r="A401" s="41">
        <v>2</v>
      </c>
      <c r="B401" s="231"/>
      <c r="C401" s="112">
        <f>IF(OR(T$483&lt;1,Spells!V4=""),"",Spells!V4&amp;" ("&amp;Spells!W4&amp;")")</f>
      </c>
      <c r="D401" s="112"/>
      <c r="E401" s="112"/>
      <c r="F401" s="158"/>
      <c r="G401" s="41">
        <f aca="true" t="shared" si="34" ref="G401:G429">G400+1</f>
        <v>32</v>
      </c>
      <c r="H401" s="231"/>
      <c r="I401" s="112">
        <f>IF(OR(T$483&lt;1,Spells!V34=""),"",Spells!V34&amp;" ("&amp;Spells!W34&amp;")")</f>
      </c>
      <c r="J401" s="112"/>
      <c r="K401" s="112"/>
      <c r="L401" s="158"/>
      <c r="M401" s="41">
        <f aca="true" t="shared" si="35" ref="M401:M406">M400+1</f>
        <v>62</v>
      </c>
      <c r="N401" s="231"/>
      <c r="O401" s="112">
        <f>IF(OR(T$483&lt;1,Spells!V64=""),"",Spells!V64&amp;" ("&amp;Spells!W64&amp;")")</f>
      </c>
      <c r="P401" s="112"/>
      <c r="Q401" s="112"/>
      <c r="R401" s="158"/>
      <c r="S401" s="41">
        <f>S400+1</f>
        <v>92</v>
      </c>
      <c r="T401" s="231"/>
      <c r="U401" s="112">
        <f>IF(OR(T$483&lt;1,Spells!V94=""),"",Spells!V94&amp;" ("&amp;Spells!W94&amp;")")</f>
      </c>
      <c r="V401" s="112"/>
      <c r="W401" s="112"/>
      <c r="X401" s="158"/>
    </row>
    <row r="402" spans="1:24" ht="12.75">
      <c r="A402" s="41">
        <f>A401+1</f>
        <v>3</v>
      </c>
      <c r="B402" s="231"/>
      <c r="C402" s="112">
        <f>IF(OR(T$483&lt;1,Spells!V5=""),"",Spells!V5&amp;" ("&amp;Spells!W5&amp;")")</f>
      </c>
      <c r="D402" s="112"/>
      <c r="E402" s="112"/>
      <c r="F402" s="158"/>
      <c r="G402" s="41">
        <f t="shared" si="34"/>
        <v>33</v>
      </c>
      <c r="H402" s="231"/>
      <c r="I402" s="112">
        <f>IF(OR(T$483&lt;1,Spells!V35=""),"",Spells!V35&amp;" ("&amp;Spells!W35&amp;")")</f>
      </c>
      <c r="J402" s="112"/>
      <c r="K402" s="112"/>
      <c r="L402" s="158"/>
      <c r="M402" s="41">
        <f t="shared" si="35"/>
        <v>63</v>
      </c>
      <c r="N402" s="231"/>
      <c r="O402" s="112">
        <f>IF(OR(T$483&lt;1,Spells!V65=""),"",Spells!V65&amp;" ("&amp;Spells!W65&amp;")")</f>
      </c>
      <c r="P402" s="112"/>
      <c r="Q402" s="112"/>
      <c r="R402" s="158"/>
      <c r="S402" s="41">
        <f aca="true" t="shared" si="36" ref="S402:S429">S401+1</f>
        <v>93</v>
      </c>
      <c r="T402" s="231"/>
      <c r="U402" s="112">
        <f>IF(OR(T$483&lt;1,Spells!V95=""),"",Spells!V95&amp;" ("&amp;Spells!W95&amp;")")</f>
      </c>
      <c r="V402" s="112"/>
      <c r="W402" s="112"/>
      <c r="X402" s="158"/>
    </row>
    <row r="403" spans="1:24" ht="12.75">
      <c r="A403" s="41">
        <f aca="true" t="shared" si="37" ref="A403:A424">A402+1</f>
        <v>4</v>
      </c>
      <c r="B403" s="231"/>
      <c r="C403" s="112">
        <f>IF(OR(T$483&lt;1,Spells!V6=""),"",Spells!V6&amp;" ("&amp;Spells!W6&amp;")")</f>
      </c>
      <c r="D403" s="112"/>
      <c r="E403" s="112"/>
      <c r="F403" s="158"/>
      <c r="G403" s="41">
        <f t="shared" si="34"/>
        <v>34</v>
      </c>
      <c r="H403" s="231"/>
      <c r="I403" s="112">
        <f>IF(OR(T$483&lt;1,Spells!V36=""),"",Spells!V36&amp;" ("&amp;Spells!W36&amp;")")</f>
      </c>
      <c r="J403" s="112"/>
      <c r="K403" s="112"/>
      <c r="L403" s="158"/>
      <c r="M403" s="41">
        <f t="shared" si="35"/>
        <v>64</v>
      </c>
      <c r="N403" s="231"/>
      <c r="O403" s="112">
        <f>IF(OR(T$483&lt;1,Spells!V66=""),"",Spells!V66&amp;" ("&amp;Spells!W66&amp;")")</f>
      </c>
      <c r="P403" s="112"/>
      <c r="Q403" s="112"/>
      <c r="R403" s="158"/>
      <c r="S403" s="41">
        <f t="shared" si="36"/>
        <v>94</v>
      </c>
      <c r="T403" s="231"/>
      <c r="U403" s="112">
        <f>IF(OR(T$483&lt;1,Spells!V96=""),"",Spells!V96&amp;" ("&amp;Spells!W96&amp;")")</f>
      </c>
      <c r="V403" s="112"/>
      <c r="W403" s="112"/>
      <c r="X403" s="158"/>
    </row>
    <row r="404" spans="1:24" ht="12.75">
      <c r="A404" s="41">
        <f t="shared" si="37"/>
        <v>5</v>
      </c>
      <c r="B404" s="231"/>
      <c r="C404" s="112">
        <f>IF(OR(T$483&lt;1,Spells!V7=""),"",Spells!V7&amp;" ("&amp;Spells!W7&amp;")")</f>
      </c>
      <c r="D404" s="112"/>
      <c r="E404" s="112"/>
      <c r="F404" s="158"/>
      <c r="G404" s="41">
        <f t="shared" si="34"/>
        <v>35</v>
      </c>
      <c r="H404" s="231"/>
      <c r="I404" s="112">
        <f>IF(OR(T$483&lt;1,Spells!V37=""),"",Spells!V37&amp;" ("&amp;Spells!W37&amp;")")</f>
      </c>
      <c r="J404" s="112"/>
      <c r="K404" s="112"/>
      <c r="L404" s="158"/>
      <c r="M404" s="41">
        <f t="shared" si="35"/>
        <v>65</v>
      </c>
      <c r="N404" s="231"/>
      <c r="O404" s="112">
        <f>IF(OR(T$483&lt;1,Spells!V67=""),"",Spells!V67&amp;" ("&amp;Spells!W67&amp;")")</f>
      </c>
      <c r="P404" s="112"/>
      <c r="Q404" s="112"/>
      <c r="R404" s="158"/>
      <c r="S404" s="41">
        <f t="shared" si="36"/>
        <v>95</v>
      </c>
      <c r="T404" s="231"/>
      <c r="U404" s="112">
        <f>IF(OR(T$483&lt;1,Spells!V97=""),"",Spells!V97&amp;" ("&amp;Spells!W97&amp;")")</f>
      </c>
      <c r="V404" s="112"/>
      <c r="W404" s="112"/>
      <c r="X404" s="158"/>
    </row>
    <row r="405" spans="1:24" ht="12.75">
      <c r="A405" s="41">
        <f t="shared" si="37"/>
        <v>6</v>
      </c>
      <c r="B405" s="231"/>
      <c r="C405" s="112">
        <f>IF(OR(T$483&lt;1,Spells!V8=""),"",Spells!V8&amp;" ("&amp;Spells!W8&amp;")")</f>
      </c>
      <c r="D405" s="112"/>
      <c r="E405" s="112"/>
      <c r="F405" s="158"/>
      <c r="G405" s="41">
        <f t="shared" si="34"/>
        <v>36</v>
      </c>
      <c r="H405" s="231"/>
      <c r="I405" s="112">
        <f>IF(OR(T$483&lt;1,Spells!V38=""),"",Spells!V38&amp;" ("&amp;Spells!W38&amp;")")</f>
      </c>
      <c r="J405" s="112"/>
      <c r="K405" s="112"/>
      <c r="L405" s="158"/>
      <c r="M405" s="41">
        <f t="shared" si="35"/>
        <v>66</v>
      </c>
      <c r="N405" s="231"/>
      <c r="O405" s="112">
        <f>IF(OR(T$483&lt;1,Spells!V68=""),"",Spells!V68&amp;" ("&amp;Spells!W68&amp;")")</f>
      </c>
      <c r="P405" s="112"/>
      <c r="Q405" s="112"/>
      <c r="R405" s="158"/>
      <c r="S405" s="41">
        <f t="shared" si="36"/>
        <v>96</v>
      </c>
      <c r="T405" s="231"/>
      <c r="U405" s="112">
        <f>IF(OR(T$483&lt;1,Spells!V98=""),"",Spells!V98&amp;" ("&amp;Spells!W98&amp;")")</f>
      </c>
      <c r="V405" s="112"/>
      <c r="W405" s="112"/>
      <c r="X405" s="158"/>
    </row>
    <row r="406" spans="1:24" ht="12.75">
      <c r="A406" s="41">
        <f t="shared" si="37"/>
        <v>7</v>
      </c>
      <c r="B406" s="231"/>
      <c r="C406" s="112">
        <f>IF(OR(T$483&lt;1,Spells!V9=""),"",Spells!V9&amp;" ("&amp;Spells!W9&amp;")")</f>
      </c>
      <c r="D406" s="112"/>
      <c r="E406" s="112"/>
      <c r="F406" s="158"/>
      <c r="G406" s="41">
        <f t="shared" si="34"/>
        <v>37</v>
      </c>
      <c r="H406" s="231"/>
      <c r="I406" s="112">
        <f>IF(OR(T$483&lt;1,Spells!V39=""),"",Spells!V39&amp;" ("&amp;Spells!W39&amp;")")</f>
      </c>
      <c r="J406" s="112"/>
      <c r="K406" s="112"/>
      <c r="L406" s="158"/>
      <c r="M406" s="41">
        <f t="shared" si="35"/>
        <v>67</v>
      </c>
      <c r="N406" s="231"/>
      <c r="O406" s="112">
        <f>IF(OR(T$483&lt;1,Spells!V69=""),"",Spells!V69&amp;" ("&amp;Spells!W69&amp;")")</f>
      </c>
      <c r="P406" s="112"/>
      <c r="Q406" s="112"/>
      <c r="R406" s="158"/>
      <c r="S406" s="41">
        <f t="shared" si="36"/>
        <v>97</v>
      </c>
      <c r="T406" s="231"/>
      <c r="U406" s="112">
        <f>IF(OR(T$483&lt;1,Spells!V99=""),"",Spells!V99&amp;" ("&amp;Spells!W99&amp;")")</f>
      </c>
      <c r="V406" s="112"/>
      <c r="W406" s="112"/>
      <c r="X406" s="158"/>
    </row>
    <row r="407" spans="1:24" ht="12.75">
      <c r="A407" s="41">
        <f t="shared" si="37"/>
        <v>8</v>
      </c>
      <c r="B407" s="231"/>
      <c r="C407" s="112">
        <f>IF(OR(T$483&lt;1,Spells!V10=""),"",Spells!V10&amp;" ("&amp;Spells!W10&amp;")")</f>
      </c>
      <c r="D407" s="112"/>
      <c r="E407" s="112"/>
      <c r="F407" s="158"/>
      <c r="G407" s="41">
        <f t="shared" si="34"/>
        <v>38</v>
      </c>
      <c r="H407" s="231"/>
      <c r="I407" s="112">
        <f>IF(OR(T$483&lt;1,Spells!V40=""),"",Spells!V40&amp;" ("&amp;Spells!W40&amp;")")</f>
      </c>
      <c r="J407" s="112"/>
      <c r="K407" s="112"/>
      <c r="L407" s="158"/>
      <c r="M407" s="41">
        <f aca="true" t="shared" si="38" ref="M407:M414">M406+1</f>
        <v>68</v>
      </c>
      <c r="N407" s="231"/>
      <c r="O407" s="112">
        <f>IF(OR(T$483&lt;1,Spells!V70=""),"",Spells!V70&amp;" ("&amp;Spells!W70&amp;")")</f>
      </c>
      <c r="P407" s="112"/>
      <c r="Q407" s="112"/>
      <c r="R407" s="158"/>
      <c r="S407" s="41">
        <f t="shared" si="36"/>
        <v>98</v>
      </c>
      <c r="T407" s="231"/>
      <c r="U407" s="112">
        <f>IF(OR(T$483&lt;1,Spells!V100=""),"",Spells!V100&amp;" ("&amp;Spells!W100&amp;")")</f>
      </c>
      <c r="V407" s="112"/>
      <c r="W407" s="112"/>
      <c r="X407" s="158"/>
    </row>
    <row r="408" spans="1:24" ht="12.75">
      <c r="A408" s="41">
        <f t="shared" si="37"/>
        <v>9</v>
      </c>
      <c r="B408" s="231"/>
      <c r="C408" s="112">
        <f>IF(OR(T$483&lt;1,Spells!V11=""),"",Spells!V11&amp;" ("&amp;Spells!W11&amp;")")</f>
      </c>
      <c r="D408" s="112"/>
      <c r="E408" s="112"/>
      <c r="F408" s="158"/>
      <c r="G408" s="41">
        <f t="shared" si="34"/>
        <v>39</v>
      </c>
      <c r="H408" s="231"/>
      <c r="I408" s="112">
        <f>IF(OR(T$483&lt;1,Spells!V41=""),"",Spells!V41&amp;" ("&amp;Spells!W41&amp;")")</f>
      </c>
      <c r="J408" s="112"/>
      <c r="K408" s="112"/>
      <c r="L408" s="158"/>
      <c r="M408" s="41">
        <f t="shared" si="38"/>
        <v>69</v>
      </c>
      <c r="N408" s="231"/>
      <c r="O408" s="112">
        <f>IF(OR(T$483&lt;1,Spells!V71=""),"",Spells!V71&amp;" ("&amp;Spells!W71&amp;")")</f>
      </c>
      <c r="P408" s="112"/>
      <c r="Q408" s="112"/>
      <c r="R408" s="158"/>
      <c r="S408" s="41">
        <f t="shared" si="36"/>
        <v>99</v>
      </c>
      <c r="T408" s="231"/>
      <c r="U408" s="112">
        <f>IF(OR(T$483&lt;1,Spells!V101=""),"",Spells!V101&amp;" ("&amp;Spells!W101&amp;")")</f>
      </c>
      <c r="V408" s="112"/>
      <c r="W408" s="112"/>
      <c r="X408" s="158"/>
    </row>
    <row r="409" spans="1:24" ht="12.75">
      <c r="A409" s="41">
        <f t="shared" si="37"/>
        <v>10</v>
      </c>
      <c r="B409" s="231"/>
      <c r="C409" s="112">
        <f>IF(OR(T$483&lt;1,Spells!V12=""),"",Spells!V12&amp;" ("&amp;Spells!W12&amp;")")</f>
      </c>
      <c r="D409" s="112"/>
      <c r="E409" s="112"/>
      <c r="F409" s="158"/>
      <c r="G409" s="41">
        <f t="shared" si="34"/>
        <v>40</v>
      </c>
      <c r="H409" s="231"/>
      <c r="I409" s="112">
        <f>IF(OR(T$483&lt;1,Spells!V42=""),"",Spells!V42&amp;" ("&amp;Spells!W42&amp;")")</f>
      </c>
      <c r="J409" s="112"/>
      <c r="K409" s="112"/>
      <c r="L409" s="158"/>
      <c r="M409" s="41">
        <f t="shared" si="38"/>
        <v>70</v>
      </c>
      <c r="N409" s="231"/>
      <c r="O409" s="112">
        <f>IF(OR(T$483&lt;1,Spells!V72=""),"",Spells!V72&amp;" ("&amp;Spells!W72&amp;")")</f>
      </c>
      <c r="P409" s="112"/>
      <c r="Q409" s="112"/>
      <c r="R409" s="158"/>
      <c r="S409" s="41">
        <f t="shared" si="36"/>
        <v>100</v>
      </c>
      <c r="T409" s="231"/>
      <c r="U409" s="112">
        <f>IF(OR(T$483&lt;1,Spells!V102=""),"",Spells!V102&amp;" ("&amp;Spells!W102&amp;")")</f>
      </c>
      <c r="V409" s="112"/>
      <c r="W409" s="112"/>
      <c r="X409" s="158"/>
    </row>
    <row r="410" spans="1:24" ht="12.75">
      <c r="A410" s="41">
        <f t="shared" si="37"/>
        <v>11</v>
      </c>
      <c r="B410" s="231"/>
      <c r="C410" s="112">
        <f>IF(OR(T$483&lt;1,Spells!V13=""),"",Spells!V13&amp;" ("&amp;Spells!W13&amp;")")</f>
      </c>
      <c r="D410" s="112"/>
      <c r="E410" s="112"/>
      <c r="F410" s="158"/>
      <c r="G410" s="41">
        <f t="shared" si="34"/>
        <v>41</v>
      </c>
      <c r="H410" s="231"/>
      <c r="I410" s="112">
        <f>IF(OR(T$483&lt;1,Spells!V43=""),"",Spells!V43&amp;" ("&amp;Spells!W43&amp;")")</f>
      </c>
      <c r="J410" s="112"/>
      <c r="K410" s="112"/>
      <c r="L410" s="158"/>
      <c r="M410" s="41">
        <f t="shared" si="38"/>
        <v>71</v>
      </c>
      <c r="N410" s="231"/>
      <c r="O410" s="112">
        <f>IF(OR(T$483&lt;1,Spells!V73=""),"",Spells!V73&amp;" ("&amp;Spells!W73&amp;")")</f>
      </c>
      <c r="P410" s="112"/>
      <c r="Q410" s="112"/>
      <c r="R410" s="158"/>
      <c r="S410" s="41">
        <f t="shared" si="36"/>
        <v>101</v>
      </c>
      <c r="T410" s="231"/>
      <c r="U410" s="112">
        <f>IF(OR(T$483&lt;1,Spells!V103=""),"",Spells!V103&amp;" ("&amp;Spells!W103&amp;")")</f>
      </c>
      <c r="V410" s="112"/>
      <c r="W410" s="112"/>
      <c r="X410" s="158"/>
    </row>
    <row r="411" spans="1:24" ht="12.75">
      <c r="A411" s="41">
        <f t="shared" si="37"/>
        <v>12</v>
      </c>
      <c r="B411" s="231"/>
      <c r="C411" s="112">
        <f>IF(OR(T$483&lt;1,Spells!V14=""),"",Spells!V14&amp;" ("&amp;Spells!W14&amp;")")</f>
      </c>
      <c r="D411" s="112"/>
      <c r="E411" s="112"/>
      <c r="F411" s="158"/>
      <c r="G411" s="41">
        <f t="shared" si="34"/>
        <v>42</v>
      </c>
      <c r="H411" s="231"/>
      <c r="I411" s="112">
        <f>IF(OR(T$483&lt;1,Spells!V44=""),"",Spells!V44&amp;" ("&amp;Spells!W44&amp;")")</f>
      </c>
      <c r="J411" s="112"/>
      <c r="K411" s="112"/>
      <c r="L411" s="158"/>
      <c r="M411" s="41">
        <f t="shared" si="38"/>
        <v>72</v>
      </c>
      <c r="N411" s="231"/>
      <c r="O411" s="112">
        <f>IF(OR(T$483&lt;1,Spells!V74=""),"",Spells!V74&amp;" ("&amp;Spells!W74&amp;")")</f>
      </c>
      <c r="P411" s="112"/>
      <c r="Q411" s="112"/>
      <c r="R411" s="158"/>
      <c r="S411" s="41">
        <f t="shared" si="36"/>
        <v>102</v>
      </c>
      <c r="T411" s="231"/>
      <c r="U411" s="112">
        <f>IF(OR(T$483&lt;1,Spells!V104=""),"",Spells!V104&amp;" ("&amp;Spells!W104&amp;")")</f>
      </c>
      <c r="V411" s="112"/>
      <c r="W411" s="112"/>
      <c r="X411" s="158"/>
    </row>
    <row r="412" spans="1:24" ht="12.75">
      <c r="A412" s="41">
        <f t="shared" si="37"/>
        <v>13</v>
      </c>
      <c r="B412" s="231"/>
      <c r="C412" s="112">
        <f>IF(OR(T$483&lt;1,Spells!V15=""),"",Spells!V15&amp;" ("&amp;Spells!W15&amp;")")</f>
      </c>
      <c r="D412" s="112"/>
      <c r="E412" s="112"/>
      <c r="F412" s="158"/>
      <c r="G412" s="41">
        <f t="shared" si="34"/>
        <v>43</v>
      </c>
      <c r="H412" s="231"/>
      <c r="I412" s="112">
        <f>IF(OR(T$483&lt;1,Spells!V45=""),"",Spells!V45&amp;" ("&amp;Spells!W45&amp;")")</f>
      </c>
      <c r="J412" s="112"/>
      <c r="K412" s="112"/>
      <c r="L412" s="158"/>
      <c r="M412" s="41">
        <f t="shared" si="38"/>
        <v>73</v>
      </c>
      <c r="N412" s="231"/>
      <c r="O412" s="112">
        <f>IF(OR(T$483&lt;1,Spells!V75=""),"",Spells!V75&amp;" ("&amp;Spells!W75&amp;")")</f>
      </c>
      <c r="P412" s="112"/>
      <c r="Q412" s="112"/>
      <c r="R412" s="158"/>
      <c r="S412" s="41">
        <f t="shared" si="36"/>
        <v>103</v>
      </c>
      <c r="T412" s="231"/>
      <c r="U412" s="112">
        <f>IF(OR(T$483&lt;1,Spells!V105=""),"",Spells!V105&amp;" ("&amp;Spells!W105&amp;")")</f>
      </c>
      <c r="V412" s="112"/>
      <c r="W412" s="112"/>
      <c r="X412" s="158"/>
    </row>
    <row r="413" spans="1:24" ht="12.75">
      <c r="A413" s="41">
        <f t="shared" si="37"/>
        <v>14</v>
      </c>
      <c r="B413" s="231"/>
      <c r="C413" s="112">
        <f>IF(OR(T$483&lt;1,Spells!V16=""),"",Spells!V16&amp;" ("&amp;Spells!W16&amp;")")</f>
      </c>
      <c r="D413" s="112"/>
      <c r="E413" s="112"/>
      <c r="F413" s="158"/>
      <c r="G413" s="41">
        <f t="shared" si="34"/>
        <v>44</v>
      </c>
      <c r="H413" s="231"/>
      <c r="I413" s="112">
        <f>IF(OR(T$483&lt;1,Spells!V46=""),"",Spells!V46&amp;" ("&amp;Spells!W46&amp;")")</f>
      </c>
      <c r="J413" s="112"/>
      <c r="K413" s="112"/>
      <c r="L413" s="158"/>
      <c r="M413" s="41">
        <f t="shared" si="38"/>
        <v>74</v>
      </c>
      <c r="N413" s="231"/>
      <c r="O413" s="112">
        <f>IF(OR(T$483&lt;1,Spells!V76=""),"",Spells!V76&amp;" ("&amp;Spells!W76&amp;")")</f>
      </c>
      <c r="P413" s="112"/>
      <c r="Q413" s="112"/>
      <c r="R413" s="158"/>
      <c r="S413" s="41">
        <f t="shared" si="36"/>
        <v>104</v>
      </c>
      <c r="T413" s="231"/>
      <c r="U413" s="112">
        <f>IF(OR(T$483&lt;1,Spells!V106=""),"",Spells!V106&amp;" ("&amp;Spells!W106&amp;")")</f>
      </c>
      <c r="V413" s="112"/>
      <c r="W413" s="112"/>
      <c r="X413" s="158"/>
    </row>
    <row r="414" spans="1:24" ht="12.75">
      <c r="A414" s="41">
        <f t="shared" si="37"/>
        <v>15</v>
      </c>
      <c r="B414" s="231"/>
      <c r="C414" s="112">
        <f>IF(OR(T$483&lt;1,Spells!V17=""),"",Spells!V17&amp;" ("&amp;Spells!W17&amp;")")</f>
      </c>
      <c r="D414" s="112"/>
      <c r="E414" s="112"/>
      <c r="F414" s="158"/>
      <c r="G414" s="41">
        <f t="shared" si="34"/>
        <v>45</v>
      </c>
      <c r="H414" s="231"/>
      <c r="I414" s="112">
        <f>IF(OR(T$483&lt;1,Spells!V47=""),"",Spells!V47&amp;" ("&amp;Spells!W47&amp;")")</f>
      </c>
      <c r="J414" s="112"/>
      <c r="K414" s="112"/>
      <c r="L414" s="158"/>
      <c r="M414" s="41">
        <f t="shared" si="38"/>
        <v>75</v>
      </c>
      <c r="N414" s="231"/>
      <c r="O414" s="112">
        <f>IF(OR(T$483&lt;1,Spells!V77=""),"",Spells!V77&amp;" ("&amp;Spells!W77&amp;")")</f>
      </c>
      <c r="P414" s="112"/>
      <c r="Q414" s="112"/>
      <c r="R414" s="158"/>
      <c r="S414" s="41">
        <f t="shared" si="36"/>
        <v>105</v>
      </c>
      <c r="T414" s="231"/>
      <c r="U414" s="112">
        <f>IF(OR(T$483&lt;1,Spells!V107=""),"",Spells!V107&amp;" ("&amp;Spells!W107&amp;")")</f>
      </c>
      <c r="V414" s="112"/>
      <c r="W414" s="112"/>
      <c r="X414" s="158"/>
    </row>
    <row r="415" spans="1:24" ht="12.75">
      <c r="A415" s="41">
        <f t="shared" si="37"/>
        <v>16</v>
      </c>
      <c r="B415" s="231"/>
      <c r="C415" s="112">
        <f>IF(OR(T$483&lt;1,Spells!V18=""),"",Spells!V18&amp;" ("&amp;Spells!W18&amp;")")</f>
      </c>
      <c r="D415" s="112"/>
      <c r="E415" s="112"/>
      <c r="F415" s="158"/>
      <c r="G415" s="41">
        <f t="shared" si="34"/>
        <v>46</v>
      </c>
      <c r="H415" s="231"/>
      <c r="I415" s="112">
        <f>IF(OR(T$483&lt;1,Spells!V48=""),"",Spells!V48&amp;" ("&amp;Spells!W48&amp;")")</f>
      </c>
      <c r="J415" s="112"/>
      <c r="K415" s="112"/>
      <c r="L415" s="158"/>
      <c r="M415" s="41">
        <f aca="true" t="shared" si="39" ref="M415:M429">M414+1</f>
        <v>76</v>
      </c>
      <c r="N415" s="231"/>
      <c r="O415" s="112">
        <f>IF(OR(T$483&lt;1,Spells!V78=""),"",Spells!V78&amp;" ("&amp;Spells!W78&amp;")")</f>
      </c>
      <c r="P415" s="112"/>
      <c r="Q415" s="112"/>
      <c r="R415" s="158"/>
      <c r="S415" s="41">
        <f t="shared" si="36"/>
        <v>106</v>
      </c>
      <c r="T415" s="231"/>
      <c r="U415" s="112">
        <f>IF(OR(T$483&lt;1,Spells!V108=""),"",Spells!V108&amp;" ("&amp;Spells!W108&amp;")")</f>
      </c>
      <c r="V415" s="112"/>
      <c r="W415" s="112"/>
      <c r="X415" s="158"/>
    </row>
    <row r="416" spans="1:24" ht="12.75">
      <c r="A416" s="41">
        <f t="shared" si="37"/>
        <v>17</v>
      </c>
      <c r="B416" s="231"/>
      <c r="C416" s="112">
        <f>IF(OR(T$483&lt;1,Spells!V19=""),"",Spells!V19&amp;" ("&amp;Spells!W19&amp;")")</f>
      </c>
      <c r="D416" s="112"/>
      <c r="E416" s="112"/>
      <c r="F416" s="158"/>
      <c r="G416" s="41">
        <f t="shared" si="34"/>
        <v>47</v>
      </c>
      <c r="H416" s="231"/>
      <c r="I416" s="112">
        <f>IF(OR(T$483&lt;1,Spells!V49=""),"",Spells!V49&amp;" ("&amp;Spells!W49&amp;")")</f>
      </c>
      <c r="J416" s="112"/>
      <c r="K416" s="112"/>
      <c r="L416" s="158"/>
      <c r="M416" s="41">
        <f t="shared" si="39"/>
        <v>77</v>
      </c>
      <c r="N416" s="231"/>
      <c r="O416" s="112">
        <f>IF(OR(T$483&lt;1,Spells!V79=""),"",Spells!V79&amp;" ("&amp;Spells!W79&amp;")")</f>
      </c>
      <c r="P416" s="112"/>
      <c r="Q416" s="112"/>
      <c r="R416" s="158"/>
      <c r="S416" s="41">
        <f t="shared" si="36"/>
        <v>107</v>
      </c>
      <c r="T416" s="231"/>
      <c r="U416" s="112">
        <f>IF(OR(T$483&lt;1,Spells!V109=""),"",Spells!V109&amp;" ("&amp;Spells!W109&amp;")")</f>
      </c>
      <c r="V416" s="112"/>
      <c r="W416" s="112"/>
      <c r="X416" s="158"/>
    </row>
    <row r="417" spans="1:24" ht="12.75">
      <c r="A417" s="41">
        <f t="shared" si="37"/>
        <v>18</v>
      </c>
      <c r="B417" s="231"/>
      <c r="C417" s="112">
        <f>IF(OR(T$483&lt;1,Spells!V20=""),"",Spells!V20&amp;" ("&amp;Spells!W20&amp;")")</f>
      </c>
      <c r="D417" s="112"/>
      <c r="E417" s="112"/>
      <c r="F417" s="158"/>
      <c r="G417" s="41">
        <f t="shared" si="34"/>
        <v>48</v>
      </c>
      <c r="H417" s="231"/>
      <c r="I417" s="112">
        <f>IF(OR(T$483&lt;1,Spells!V50=""),"",Spells!V50&amp;" ("&amp;Spells!W50&amp;")")</f>
      </c>
      <c r="J417" s="112"/>
      <c r="K417" s="112"/>
      <c r="L417" s="158"/>
      <c r="M417" s="41">
        <f t="shared" si="39"/>
        <v>78</v>
      </c>
      <c r="N417" s="231"/>
      <c r="O417" s="112">
        <f>IF(OR(T$483&lt;1,Spells!V80=""),"",Spells!V80&amp;" ("&amp;Spells!W80&amp;")")</f>
      </c>
      <c r="P417" s="112"/>
      <c r="Q417" s="112"/>
      <c r="R417" s="158"/>
      <c r="S417" s="41">
        <f t="shared" si="36"/>
        <v>108</v>
      </c>
      <c r="T417" s="231"/>
      <c r="U417" s="112">
        <f>IF(OR(T$483&lt;1,Spells!V110=""),"",Spells!V110&amp;" ("&amp;Spells!W110&amp;")")</f>
      </c>
      <c r="V417" s="112"/>
      <c r="W417" s="112"/>
      <c r="X417" s="158"/>
    </row>
    <row r="418" spans="1:24" ht="12.75">
      <c r="A418" s="41">
        <f t="shared" si="37"/>
        <v>19</v>
      </c>
      <c r="B418" s="231"/>
      <c r="C418" s="112">
        <f>IF(OR(T$483&lt;1,Spells!V21=""),"",Spells!V21&amp;" ("&amp;Spells!W21&amp;")")</f>
      </c>
      <c r="D418" s="112"/>
      <c r="E418" s="112"/>
      <c r="F418" s="158"/>
      <c r="G418" s="41">
        <f t="shared" si="34"/>
        <v>49</v>
      </c>
      <c r="H418" s="231"/>
      <c r="I418" s="112">
        <f>IF(OR(T$483&lt;1,Spells!V51=""),"",Spells!V51&amp;" ("&amp;Spells!W51&amp;")")</f>
      </c>
      <c r="J418" s="112"/>
      <c r="K418" s="112"/>
      <c r="L418" s="158"/>
      <c r="M418" s="41">
        <f t="shared" si="39"/>
        <v>79</v>
      </c>
      <c r="N418" s="231"/>
      <c r="O418" s="112">
        <f>IF(OR(T$483&lt;1,Spells!V81=""),"",Spells!V81&amp;" ("&amp;Spells!W81&amp;")")</f>
      </c>
      <c r="P418" s="112"/>
      <c r="Q418" s="112"/>
      <c r="R418" s="158"/>
      <c r="S418" s="41">
        <f t="shared" si="36"/>
        <v>109</v>
      </c>
      <c r="T418" s="231"/>
      <c r="U418" s="112">
        <f>IF(OR(T$483&lt;1,Spells!V111=""),"",Spells!V111&amp;" ("&amp;Spells!W111&amp;")")</f>
      </c>
      <c r="V418" s="112"/>
      <c r="W418" s="112"/>
      <c r="X418" s="158"/>
    </row>
    <row r="419" spans="1:24" ht="12.75">
      <c r="A419" s="41">
        <f t="shared" si="37"/>
        <v>20</v>
      </c>
      <c r="B419" s="231"/>
      <c r="C419" s="112">
        <f>IF(OR(T$483&lt;1,Spells!V22=""),"",Spells!V22&amp;" ("&amp;Spells!W22&amp;")")</f>
      </c>
      <c r="D419" s="112"/>
      <c r="E419" s="112"/>
      <c r="F419" s="158"/>
      <c r="G419" s="41">
        <f t="shared" si="34"/>
        <v>50</v>
      </c>
      <c r="H419" s="231"/>
      <c r="I419" s="112">
        <f>IF(OR(T$483&lt;1,Spells!V52=""),"",Spells!V52&amp;" ("&amp;Spells!W52&amp;")")</f>
      </c>
      <c r="J419" s="112"/>
      <c r="K419" s="112"/>
      <c r="L419" s="158"/>
      <c r="M419" s="41">
        <f t="shared" si="39"/>
        <v>80</v>
      </c>
      <c r="N419" s="231"/>
      <c r="O419" s="112">
        <f>IF(OR(T$483&lt;1,Spells!V82=""),"",Spells!V82&amp;" ("&amp;Spells!W82&amp;")")</f>
      </c>
      <c r="P419" s="112"/>
      <c r="Q419" s="112"/>
      <c r="R419" s="158"/>
      <c r="S419" s="41">
        <f t="shared" si="36"/>
        <v>110</v>
      </c>
      <c r="T419" s="231"/>
      <c r="U419" s="112">
        <f>IF(OR(T$483&lt;1,Spells!V112=""),"",Spells!V112&amp;" ("&amp;Spells!W112&amp;")")</f>
      </c>
      <c r="V419" s="112"/>
      <c r="W419" s="112"/>
      <c r="X419" s="158"/>
    </row>
    <row r="420" spans="1:24" ht="12.75">
      <c r="A420" s="41">
        <f t="shared" si="37"/>
        <v>21</v>
      </c>
      <c r="B420" s="231"/>
      <c r="C420" s="112">
        <f>IF(OR(T$483&lt;1,Spells!V23=""),"",Spells!V23&amp;" ("&amp;Spells!W23&amp;")")</f>
      </c>
      <c r="D420" s="112"/>
      <c r="E420" s="112"/>
      <c r="F420" s="158"/>
      <c r="G420" s="41">
        <f t="shared" si="34"/>
        <v>51</v>
      </c>
      <c r="H420" s="231"/>
      <c r="I420" s="112">
        <f>IF(OR(T$483&lt;1,Spells!V53=""),"",Spells!V53&amp;" ("&amp;Spells!W53&amp;")")</f>
      </c>
      <c r="J420" s="112"/>
      <c r="K420" s="112"/>
      <c r="L420" s="158"/>
      <c r="M420" s="41">
        <f t="shared" si="39"/>
        <v>81</v>
      </c>
      <c r="N420" s="231"/>
      <c r="O420" s="112">
        <f>IF(OR(T$483&lt;1,Spells!V83=""),"",Spells!V83&amp;" ("&amp;Spells!W83&amp;")")</f>
      </c>
      <c r="P420" s="112"/>
      <c r="Q420" s="112"/>
      <c r="R420" s="158"/>
      <c r="S420" s="41">
        <f t="shared" si="36"/>
        <v>111</v>
      </c>
      <c r="T420" s="231"/>
      <c r="U420" s="112">
        <f>IF(OR(T$483&lt;1,Spells!V113=""),"",Spells!V113&amp;" ("&amp;Spells!W113&amp;")")</f>
      </c>
      <c r="V420" s="112"/>
      <c r="W420" s="112"/>
      <c r="X420" s="158"/>
    </row>
    <row r="421" spans="1:24" ht="12.75">
      <c r="A421" s="41">
        <f t="shared" si="37"/>
        <v>22</v>
      </c>
      <c r="B421" s="231"/>
      <c r="C421" s="112">
        <f>IF(OR(T$483&lt;1,Spells!V24=""),"",Spells!V24&amp;" ("&amp;Spells!W24&amp;")")</f>
      </c>
      <c r="D421" s="112"/>
      <c r="E421" s="112"/>
      <c r="F421" s="158"/>
      <c r="G421" s="41">
        <f t="shared" si="34"/>
        <v>52</v>
      </c>
      <c r="H421" s="231"/>
      <c r="I421" s="112">
        <f>IF(OR(T$483&lt;1,Spells!V54=""),"",Spells!V54&amp;" ("&amp;Spells!W54&amp;")")</f>
      </c>
      <c r="J421" s="112"/>
      <c r="K421" s="112"/>
      <c r="L421" s="158"/>
      <c r="M421" s="41">
        <f t="shared" si="39"/>
        <v>82</v>
      </c>
      <c r="N421" s="231"/>
      <c r="O421" s="112">
        <f>IF(OR(T$483&lt;1,Spells!V84=""),"",Spells!V84&amp;" ("&amp;Spells!W84&amp;")")</f>
      </c>
      <c r="P421" s="112"/>
      <c r="Q421" s="112"/>
      <c r="R421" s="158"/>
      <c r="S421" s="41">
        <f t="shared" si="36"/>
        <v>112</v>
      </c>
      <c r="T421" s="231"/>
      <c r="U421" s="112">
        <f>IF(OR(T$483&lt;1,Spells!V114=""),"",Spells!V114&amp;" ("&amp;Spells!W114&amp;")")</f>
      </c>
      <c r="V421" s="112"/>
      <c r="W421" s="112"/>
      <c r="X421" s="158"/>
    </row>
    <row r="422" spans="1:24" ht="12.75">
      <c r="A422" s="41">
        <f t="shared" si="37"/>
        <v>23</v>
      </c>
      <c r="B422" s="231"/>
      <c r="C422" s="112">
        <f>IF(OR(T$483&lt;1,Spells!V25=""),"",Spells!V25&amp;" ("&amp;Spells!W25&amp;")")</f>
      </c>
      <c r="D422" s="112"/>
      <c r="E422" s="112"/>
      <c r="F422" s="158"/>
      <c r="G422" s="41">
        <f t="shared" si="34"/>
        <v>53</v>
      </c>
      <c r="H422" s="231"/>
      <c r="I422" s="112">
        <f>IF(OR(T$483&lt;1,Spells!V55=""),"",Spells!V55&amp;" ("&amp;Spells!W55&amp;")")</f>
      </c>
      <c r="J422" s="112"/>
      <c r="K422" s="112"/>
      <c r="L422" s="158"/>
      <c r="M422" s="41">
        <f t="shared" si="39"/>
        <v>83</v>
      </c>
      <c r="N422" s="231"/>
      <c r="O422" s="112">
        <f>IF(OR(T$483&lt;1,Spells!V85=""),"",Spells!V85&amp;" ("&amp;Spells!W85&amp;")")</f>
      </c>
      <c r="P422" s="112"/>
      <c r="Q422" s="112"/>
      <c r="R422" s="158"/>
      <c r="S422" s="41">
        <f t="shared" si="36"/>
        <v>113</v>
      </c>
      <c r="T422" s="231"/>
      <c r="U422" s="112">
        <f>IF(OR(T$483&lt;1,Spells!V115=""),"",Spells!V115&amp;" ("&amp;Spells!W115&amp;")")</f>
      </c>
      <c r="V422" s="112"/>
      <c r="W422" s="112"/>
      <c r="X422" s="158"/>
    </row>
    <row r="423" spans="1:24" ht="12.75">
      <c r="A423" s="41">
        <f t="shared" si="37"/>
        <v>24</v>
      </c>
      <c r="B423" s="231"/>
      <c r="C423" s="112">
        <f>IF(OR(T$483&lt;1,Spells!V26=""),"",Spells!V26&amp;" ("&amp;Spells!W26&amp;")")</f>
      </c>
      <c r="D423" s="112"/>
      <c r="E423" s="112"/>
      <c r="F423" s="158"/>
      <c r="G423" s="41">
        <f t="shared" si="34"/>
        <v>54</v>
      </c>
      <c r="H423" s="231"/>
      <c r="I423" s="112">
        <f>IF(OR(T$483&lt;1,Spells!V56=""),"",Spells!V56&amp;" ("&amp;Spells!W56&amp;")")</f>
      </c>
      <c r="J423" s="112"/>
      <c r="K423" s="112"/>
      <c r="L423" s="158"/>
      <c r="M423" s="41">
        <f t="shared" si="39"/>
        <v>84</v>
      </c>
      <c r="N423" s="231"/>
      <c r="O423" s="112">
        <f>IF(OR(T$483&lt;1,Spells!V86=""),"",Spells!V86&amp;" ("&amp;Spells!W86&amp;")")</f>
      </c>
      <c r="P423" s="112"/>
      <c r="Q423" s="112"/>
      <c r="R423" s="158"/>
      <c r="S423" s="41">
        <f t="shared" si="36"/>
        <v>114</v>
      </c>
      <c r="T423" s="231"/>
      <c r="U423" s="112">
        <f>IF(OR(T$483&lt;1,Spells!V116=""),"",Spells!V116&amp;" ("&amp;Spells!W116&amp;")")</f>
      </c>
      <c r="V423" s="112"/>
      <c r="W423" s="112"/>
      <c r="X423" s="158"/>
    </row>
    <row r="424" spans="1:24" ht="12.75">
      <c r="A424" s="41">
        <f t="shared" si="37"/>
        <v>25</v>
      </c>
      <c r="B424" s="231"/>
      <c r="C424" s="112">
        <f>IF(OR(T$483&lt;1,Spells!V27=""),"",Spells!V27&amp;" ("&amp;Spells!W27&amp;")")</f>
      </c>
      <c r="D424" s="112"/>
      <c r="E424" s="112"/>
      <c r="F424" s="158"/>
      <c r="G424" s="41">
        <f t="shared" si="34"/>
        <v>55</v>
      </c>
      <c r="H424" s="231"/>
      <c r="I424" s="112">
        <f>IF(OR(T$483&lt;1,Spells!V57=""),"",Spells!V57&amp;" ("&amp;Spells!W57&amp;")")</f>
      </c>
      <c r="J424" s="112"/>
      <c r="K424" s="112"/>
      <c r="L424" s="158"/>
      <c r="M424" s="41">
        <f t="shared" si="39"/>
        <v>85</v>
      </c>
      <c r="N424" s="231"/>
      <c r="O424" s="112">
        <f>IF(OR(T$483&lt;1,Spells!V87=""),"",Spells!V87&amp;" ("&amp;Spells!W87&amp;")")</f>
      </c>
      <c r="P424" s="112"/>
      <c r="Q424" s="112"/>
      <c r="R424" s="158"/>
      <c r="S424" s="41">
        <f t="shared" si="36"/>
        <v>115</v>
      </c>
      <c r="T424" s="231"/>
      <c r="U424" s="112">
        <f>IF(OR(T$483&lt;1,Spells!V117=""),"",Spells!V117&amp;" ("&amp;Spells!W117&amp;")")</f>
      </c>
      <c r="V424" s="112"/>
      <c r="W424" s="112"/>
      <c r="X424" s="158"/>
    </row>
    <row r="425" spans="1:24" ht="12.75">
      <c r="A425" s="41">
        <f>A424+1</f>
        <v>26</v>
      </c>
      <c r="B425" s="231"/>
      <c r="C425" s="112">
        <f>IF(OR(T$483&lt;1,Spells!V28=""),"",Spells!V28&amp;" ("&amp;Spells!W28&amp;")")</f>
      </c>
      <c r="D425" s="112"/>
      <c r="E425" s="112"/>
      <c r="F425" s="158"/>
      <c r="G425" s="41">
        <f t="shared" si="34"/>
        <v>56</v>
      </c>
      <c r="H425" s="231"/>
      <c r="I425" s="112">
        <f>IF(OR(T$483&lt;1,Spells!V58=""),"",Spells!V58&amp;" ("&amp;Spells!W58&amp;")")</f>
      </c>
      <c r="J425" s="112"/>
      <c r="K425" s="112"/>
      <c r="L425" s="158"/>
      <c r="M425" s="41">
        <f t="shared" si="39"/>
        <v>86</v>
      </c>
      <c r="N425" s="231"/>
      <c r="O425" s="112">
        <f>IF(OR(T$483&lt;1,Spells!V88=""),"",Spells!V88&amp;" ("&amp;Spells!W88&amp;")")</f>
      </c>
      <c r="P425" s="112"/>
      <c r="Q425" s="112"/>
      <c r="R425" s="158"/>
      <c r="S425" s="41">
        <f t="shared" si="36"/>
        <v>116</v>
      </c>
      <c r="T425" s="231"/>
      <c r="U425" s="112">
        <f>IF(OR(T$483&lt;1,Spells!V118=""),"",Spells!V118&amp;" ("&amp;Spells!W118&amp;")")</f>
      </c>
      <c r="V425" s="112"/>
      <c r="W425" s="112"/>
      <c r="X425" s="158"/>
    </row>
    <row r="426" spans="1:24" ht="12.75">
      <c r="A426" s="41">
        <f>A425+1</f>
        <v>27</v>
      </c>
      <c r="B426" s="231"/>
      <c r="C426" s="112">
        <f>IF(OR(T$483&lt;1,Spells!V29=""),"",Spells!V29&amp;" ("&amp;Spells!W29&amp;")")</f>
      </c>
      <c r="D426" s="112"/>
      <c r="E426" s="112"/>
      <c r="F426" s="158"/>
      <c r="G426" s="41">
        <f t="shared" si="34"/>
        <v>57</v>
      </c>
      <c r="H426" s="231"/>
      <c r="I426" s="112">
        <f>IF(OR(T$483&lt;1,Spells!V59=""),"",Spells!V59&amp;" ("&amp;Spells!W59&amp;")")</f>
      </c>
      <c r="J426" s="112"/>
      <c r="K426" s="112"/>
      <c r="L426" s="158"/>
      <c r="M426" s="41">
        <f t="shared" si="39"/>
        <v>87</v>
      </c>
      <c r="N426" s="231"/>
      <c r="O426" s="112">
        <f>IF(OR(T$483&lt;1,Spells!V89=""),"",Spells!V89&amp;" ("&amp;Spells!W89&amp;")")</f>
      </c>
      <c r="P426" s="112"/>
      <c r="Q426" s="112"/>
      <c r="R426" s="158"/>
      <c r="S426" s="41">
        <f t="shared" si="36"/>
        <v>117</v>
      </c>
      <c r="T426" s="231"/>
      <c r="U426" s="112">
        <f>IF(OR(T$483&lt;1,Spells!V119=""),"",Spells!V119&amp;" ("&amp;Spells!W119&amp;")")</f>
      </c>
      <c r="V426" s="112"/>
      <c r="W426" s="112"/>
      <c r="X426" s="158"/>
    </row>
    <row r="427" spans="1:24" ht="12.75">
      <c r="A427" s="41">
        <f>A426+1</f>
        <v>28</v>
      </c>
      <c r="B427" s="231"/>
      <c r="C427" s="112">
        <f>IF(OR(T$483&lt;1,Spells!V30=""),"",Spells!V30&amp;" ("&amp;Spells!W30&amp;")")</f>
      </c>
      <c r="D427" s="112"/>
      <c r="E427" s="112"/>
      <c r="F427" s="158"/>
      <c r="G427" s="41">
        <f t="shared" si="34"/>
        <v>58</v>
      </c>
      <c r="H427" s="231"/>
      <c r="I427" s="112">
        <f>IF(OR(T$483&lt;1,Spells!V60=""),"",Spells!V60&amp;" ("&amp;Spells!W60&amp;")")</f>
      </c>
      <c r="J427" s="112"/>
      <c r="K427" s="112"/>
      <c r="L427" s="158"/>
      <c r="M427" s="41">
        <f t="shared" si="39"/>
        <v>88</v>
      </c>
      <c r="N427" s="231"/>
      <c r="O427" s="112">
        <f>IF(OR(T$483&lt;1,Spells!V90=""),"",Spells!V90&amp;" ("&amp;Spells!W90&amp;")")</f>
      </c>
      <c r="P427" s="112"/>
      <c r="Q427" s="112"/>
      <c r="R427" s="158"/>
      <c r="S427" s="41">
        <f t="shared" si="36"/>
        <v>118</v>
      </c>
      <c r="T427" s="231"/>
      <c r="U427" s="112">
        <f>IF(OR(T$483&lt;1,Spells!V120=""),"",Spells!V120&amp;" ("&amp;Spells!W120&amp;")")</f>
      </c>
      <c r="V427" s="112"/>
      <c r="W427" s="112"/>
      <c r="X427" s="158"/>
    </row>
    <row r="428" spans="1:24" ht="12.75">
      <c r="A428" s="41">
        <f>A427+1</f>
        <v>29</v>
      </c>
      <c r="B428" s="231"/>
      <c r="C428" s="112">
        <f>IF(OR(T$483&lt;1,Spells!V31=""),"",Spells!V31&amp;" ("&amp;Spells!W31&amp;")")</f>
      </c>
      <c r="D428" s="112"/>
      <c r="E428" s="112"/>
      <c r="F428" s="158"/>
      <c r="G428" s="41">
        <f t="shared" si="34"/>
        <v>59</v>
      </c>
      <c r="H428" s="231"/>
      <c r="I428" s="112">
        <f>IF(OR(T$483&lt;1,Spells!V61=""),"",Spells!V61&amp;" ("&amp;Spells!W61&amp;")")</f>
      </c>
      <c r="J428" s="112"/>
      <c r="K428" s="112"/>
      <c r="L428" s="158"/>
      <c r="M428" s="41">
        <f t="shared" si="39"/>
        <v>89</v>
      </c>
      <c r="N428" s="231"/>
      <c r="O428" s="112">
        <f>IF(OR(T$483&lt;1,Spells!V91=""),"",Spells!V91&amp;" ("&amp;Spells!W91&amp;")")</f>
      </c>
      <c r="P428" s="112"/>
      <c r="Q428" s="112"/>
      <c r="R428" s="158"/>
      <c r="S428" s="41">
        <f t="shared" si="36"/>
        <v>119</v>
      </c>
      <c r="T428" s="231"/>
      <c r="U428" s="112">
        <f>IF(OR(T$483&lt;1,Spells!V121=""),"",Spells!V121&amp;" ("&amp;Spells!W121&amp;")")</f>
      </c>
      <c r="V428" s="112"/>
      <c r="W428" s="112"/>
      <c r="X428" s="158"/>
    </row>
    <row r="429" spans="1:24" ht="13.5" thickBot="1">
      <c r="A429" s="41">
        <f>A428+1</f>
        <v>30</v>
      </c>
      <c r="B429" s="232"/>
      <c r="C429" s="162">
        <f>IF(OR(T$483&lt;1,Spells!V32=""),"",Spells!V32&amp;" ("&amp;Spells!W32&amp;")")</f>
      </c>
      <c r="D429" s="162"/>
      <c r="E429" s="162"/>
      <c r="F429" s="234"/>
      <c r="G429" s="41">
        <f t="shared" si="34"/>
        <v>60</v>
      </c>
      <c r="H429" s="232"/>
      <c r="I429" s="162">
        <f>IF(OR(T$483&lt;1,Spells!V62=""),"",Spells!V62&amp;" ("&amp;Spells!W62&amp;")")</f>
      </c>
      <c r="J429" s="162"/>
      <c r="K429" s="162"/>
      <c r="L429" s="234"/>
      <c r="M429" s="41">
        <f t="shared" si="39"/>
        <v>90</v>
      </c>
      <c r="N429" s="232"/>
      <c r="O429" s="162"/>
      <c r="P429" s="162"/>
      <c r="Q429" s="162"/>
      <c r="R429" s="234"/>
      <c r="S429" s="41">
        <f t="shared" si="36"/>
        <v>120</v>
      </c>
      <c r="T429" s="232"/>
      <c r="U429" s="162">
        <f>IF(OR(T$483&lt;1,Spells!V122=""),"",Spells!V122&amp;" ("&amp;Spells!W122&amp;")")</f>
      </c>
      <c r="V429" s="162"/>
      <c r="W429" s="162"/>
      <c r="X429" s="234"/>
    </row>
    <row r="430" ht="13.5" thickBot="1"/>
    <row r="431" spans="2:24" ht="12.75">
      <c r="B431" s="250" t="s">
        <v>830</v>
      </c>
      <c r="C431" s="157"/>
      <c r="D431" s="157"/>
      <c r="E431" s="157"/>
      <c r="F431" s="233"/>
      <c r="H431" s="250" t="s">
        <v>830</v>
      </c>
      <c r="I431" s="157"/>
      <c r="J431" s="157"/>
      <c r="K431" s="157"/>
      <c r="L431" s="233"/>
      <c r="N431" s="250" t="s">
        <v>830</v>
      </c>
      <c r="O431" s="157"/>
      <c r="P431" s="157"/>
      <c r="Q431" s="157"/>
      <c r="R431" s="233"/>
      <c r="T431" s="250" t="s">
        <v>830</v>
      </c>
      <c r="U431" s="157"/>
      <c r="V431" s="157"/>
      <c r="W431" s="157"/>
      <c r="X431" s="233"/>
    </row>
    <row r="432" spans="1:24" ht="12.75">
      <c r="A432" s="41">
        <v>1</v>
      </c>
      <c r="B432" s="231"/>
      <c r="C432" s="112">
        <f>IF(OR(T$484&lt;1,Spells!AF3=""),"",Spells!AF3&amp;" ("&amp;Spells!AG3&amp;")")</f>
      </c>
      <c r="D432" s="112"/>
      <c r="E432" s="112"/>
      <c r="F432" s="158"/>
      <c r="G432" s="41">
        <f>A461+1</f>
        <v>31</v>
      </c>
      <c r="H432" s="231"/>
      <c r="I432" s="112">
        <f>IF(OR(T$484&lt;1,Spells!AF33=""),"",Spells!AF33&amp;" ("&amp;Spells!AG33&amp;")")</f>
      </c>
      <c r="J432" s="112"/>
      <c r="K432" s="112"/>
      <c r="L432" s="158"/>
      <c r="M432" s="41">
        <f>G461+1</f>
        <v>61</v>
      </c>
      <c r="N432" s="231"/>
      <c r="O432" s="112">
        <f>IF(OR(T$484&lt;1,Spells!AF63=""),"",Spells!AF63&amp;" ("&amp;Spells!AG63&amp;")")</f>
      </c>
      <c r="P432" s="112"/>
      <c r="Q432" s="112"/>
      <c r="R432" s="158"/>
      <c r="S432" s="41">
        <f>91</f>
        <v>91</v>
      </c>
      <c r="T432" s="231"/>
      <c r="U432" s="112">
        <f>IF(OR(T$484&lt;1,Spells!AF93=""),"",Spells!AF93&amp;" ("&amp;Spells!AG93&amp;")")</f>
      </c>
      <c r="V432" s="112"/>
      <c r="W432" s="112"/>
      <c r="X432" s="158"/>
    </row>
    <row r="433" spans="1:24" ht="12.75">
      <c r="A433" s="41">
        <v>2</v>
      </c>
      <c r="B433" s="231"/>
      <c r="C433" s="112">
        <f>IF(OR(T$484&lt;1,Spells!AF4=""),"",Spells!AF4&amp;" ("&amp;Spells!AG4&amp;")")</f>
      </c>
      <c r="D433" s="112"/>
      <c r="E433" s="112"/>
      <c r="F433" s="158"/>
      <c r="G433" s="41">
        <f aca="true" t="shared" si="40" ref="G433:G461">G432+1</f>
        <v>32</v>
      </c>
      <c r="H433" s="231"/>
      <c r="I433" s="112">
        <f>IF(OR(T$484&lt;1,Spells!AF34=""),"",Spells!AF34&amp;" ("&amp;Spells!AG34&amp;")")</f>
      </c>
      <c r="J433" s="112"/>
      <c r="K433" s="112"/>
      <c r="L433" s="158"/>
      <c r="M433" s="41">
        <f aca="true" t="shared" si="41" ref="M433:M461">M432+1</f>
        <v>62</v>
      </c>
      <c r="N433" s="231"/>
      <c r="O433" s="112">
        <f>IF(OR(T$484&lt;1,Spells!AF64=""),"",Spells!AF64&amp;" ("&amp;Spells!AG64&amp;")")</f>
      </c>
      <c r="P433" s="112"/>
      <c r="Q433" s="112"/>
      <c r="R433" s="158"/>
      <c r="S433" s="41">
        <f>S432+1</f>
        <v>92</v>
      </c>
      <c r="T433" s="231"/>
      <c r="U433" s="112">
        <f>IF(OR(T$484&lt;1,Spells!AF94=""),"",Spells!AF94&amp;" ("&amp;Spells!AG94&amp;")")</f>
      </c>
      <c r="V433" s="112"/>
      <c r="W433" s="112"/>
      <c r="X433" s="158"/>
    </row>
    <row r="434" spans="1:24" ht="12.75">
      <c r="A434" s="41">
        <f aca="true" t="shared" si="42" ref="A434:A461">A433+1</f>
        <v>3</v>
      </c>
      <c r="B434" s="231"/>
      <c r="C434" s="112">
        <f>IF(OR(T$484&lt;1,Spells!AF5=""),"",Spells!AF5&amp;" ("&amp;Spells!AG5&amp;")")</f>
      </c>
      <c r="D434" s="112"/>
      <c r="E434" s="112"/>
      <c r="F434" s="158"/>
      <c r="G434" s="41">
        <f t="shared" si="40"/>
        <v>33</v>
      </c>
      <c r="H434" s="231"/>
      <c r="I434" s="112">
        <f>IF(OR(T$484&lt;1,Spells!AF35=""),"",Spells!AF35&amp;" ("&amp;Spells!AG35&amp;")")</f>
      </c>
      <c r="J434" s="112"/>
      <c r="K434" s="112"/>
      <c r="L434" s="158"/>
      <c r="M434" s="41">
        <f t="shared" si="41"/>
        <v>63</v>
      </c>
      <c r="N434" s="231"/>
      <c r="O434" s="112">
        <f>IF(OR(T$484&lt;1,Spells!AF65=""),"",Spells!AF65&amp;" ("&amp;Spells!AG65&amp;")")</f>
      </c>
      <c r="P434" s="112"/>
      <c r="Q434" s="112"/>
      <c r="R434" s="158"/>
      <c r="S434" s="41">
        <f aca="true" t="shared" si="43" ref="S434:S461">S433+1</f>
        <v>93</v>
      </c>
      <c r="T434" s="231"/>
      <c r="U434" s="112">
        <f>IF(OR(T$484&lt;1,Spells!AF95=""),"",Spells!AF95&amp;" ("&amp;Spells!AG95&amp;")")</f>
      </c>
      <c r="V434" s="112"/>
      <c r="W434" s="112"/>
      <c r="X434" s="158"/>
    </row>
    <row r="435" spans="1:24" ht="12.75">
      <c r="A435" s="41">
        <f t="shared" si="42"/>
        <v>4</v>
      </c>
      <c r="B435" s="231"/>
      <c r="C435" s="112">
        <f>IF(OR(T$484&lt;1,Spells!AF6=""),"",Spells!AF6&amp;" ("&amp;Spells!AG6&amp;")")</f>
      </c>
      <c r="D435" s="112"/>
      <c r="E435" s="112"/>
      <c r="F435" s="158"/>
      <c r="G435" s="41">
        <f t="shared" si="40"/>
        <v>34</v>
      </c>
      <c r="H435" s="231"/>
      <c r="I435" s="112">
        <f>IF(OR(T$484&lt;1,Spells!AF36=""),"",Spells!AF36&amp;" ("&amp;Spells!AG36&amp;")")</f>
      </c>
      <c r="J435" s="112"/>
      <c r="K435" s="112"/>
      <c r="L435" s="158"/>
      <c r="M435" s="41">
        <f t="shared" si="41"/>
        <v>64</v>
      </c>
      <c r="N435" s="231"/>
      <c r="O435" s="112">
        <f>IF(OR(T$484&lt;1,Spells!AF66=""),"",Spells!AF66&amp;" ("&amp;Spells!AG66&amp;")")</f>
      </c>
      <c r="P435" s="112"/>
      <c r="Q435" s="112"/>
      <c r="R435" s="158"/>
      <c r="S435" s="41">
        <f t="shared" si="43"/>
        <v>94</v>
      </c>
      <c r="T435" s="231"/>
      <c r="U435" s="112">
        <f>IF(OR(T$484&lt;1,Spells!AF96=""),"",Spells!AF96&amp;" ("&amp;Spells!AG96&amp;")")</f>
      </c>
      <c r="V435" s="112"/>
      <c r="W435" s="112"/>
      <c r="X435" s="158"/>
    </row>
    <row r="436" spans="1:24" ht="12.75">
      <c r="A436" s="41">
        <f t="shared" si="42"/>
        <v>5</v>
      </c>
      <c r="B436" s="231"/>
      <c r="C436" s="112">
        <f>IF(OR(T$484&lt;1,Spells!AF7=""),"",Spells!AF7&amp;" ("&amp;Spells!AG7&amp;")")</f>
      </c>
      <c r="D436" s="112"/>
      <c r="E436" s="112"/>
      <c r="F436" s="158"/>
      <c r="G436" s="41">
        <f t="shared" si="40"/>
        <v>35</v>
      </c>
      <c r="H436" s="231"/>
      <c r="I436" s="112">
        <f>IF(OR(T$484&lt;1,Spells!AF37=""),"",Spells!AF37&amp;" ("&amp;Spells!AG37&amp;")")</f>
      </c>
      <c r="J436" s="112"/>
      <c r="K436" s="112"/>
      <c r="L436" s="158"/>
      <c r="M436" s="41">
        <f t="shared" si="41"/>
        <v>65</v>
      </c>
      <c r="N436" s="231"/>
      <c r="O436" s="112">
        <f>IF(OR(T$484&lt;1,Spells!AF67=""),"",Spells!AF67&amp;" ("&amp;Spells!AG67&amp;")")</f>
      </c>
      <c r="P436" s="112"/>
      <c r="Q436" s="112"/>
      <c r="R436" s="158"/>
      <c r="S436" s="41">
        <f t="shared" si="43"/>
        <v>95</v>
      </c>
      <c r="T436" s="231"/>
      <c r="U436" s="112">
        <f>IF(OR(T$484&lt;1,Spells!AF97=""),"",Spells!AF97&amp;" ("&amp;Spells!AG97&amp;")")</f>
      </c>
      <c r="V436" s="112"/>
      <c r="W436" s="112"/>
      <c r="X436" s="158"/>
    </row>
    <row r="437" spans="1:24" ht="12.75">
      <c r="A437" s="41">
        <f t="shared" si="42"/>
        <v>6</v>
      </c>
      <c r="B437" s="231"/>
      <c r="C437" s="112">
        <f>IF(OR(T$484&lt;1,Spells!AF8=""),"",Spells!AF8&amp;" ("&amp;Spells!AG8&amp;")")</f>
      </c>
      <c r="D437" s="112"/>
      <c r="E437" s="112"/>
      <c r="F437" s="158"/>
      <c r="G437" s="41">
        <f t="shared" si="40"/>
        <v>36</v>
      </c>
      <c r="H437" s="231"/>
      <c r="I437" s="112">
        <f>IF(OR(T$484&lt;1,Spells!AF38=""),"",Spells!AF38&amp;" ("&amp;Spells!AG38&amp;")")</f>
      </c>
      <c r="J437" s="112"/>
      <c r="K437" s="112"/>
      <c r="L437" s="158"/>
      <c r="M437" s="41">
        <f t="shared" si="41"/>
        <v>66</v>
      </c>
      <c r="N437" s="231"/>
      <c r="O437" s="112">
        <f>IF(OR(T$484&lt;1,Spells!AF68=""),"",Spells!AF68&amp;" ("&amp;Spells!AG68&amp;")")</f>
      </c>
      <c r="P437" s="112"/>
      <c r="Q437" s="112"/>
      <c r="R437" s="158"/>
      <c r="S437" s="41">
        <f t="shared" si="43"/>
        <v>96</v>
      </c>
      <c r="T437" s="231"/>
      <c r="U437" s="112">
        <f>IF(OR(T$484&lt;1,Spells!AF98=""),"",Spells!AF98&amp;" ("&amp;Spells!AG98&amp;")")</f>
      </c>
      <c r="V437" s="112"/>
      <c r="W437" s="112"/>
      <c r="X437" s="158"/>
    </row>
    <row r="438" spans="1:24" ht="12.75">
      <c r="A438" s="41">
        <f t="shared" si="42"/>
        <v>7</v>
      </c>
      <c r="B438" s="231"/>
      <c r="C438" s="112">
        <f>IF(OR(T$484&lt;1,Spells!AF9=""),"",Spells!AF9&amp;" ("&amp;Spells!AG9&amp;")")</f>
      </c>
      <c r="D438" s="112"/>
      <c r="E438" s="112"/>
      <c r="F438" s="158"/>
      <c r="G438" s="41">
        <f t="shared" si="40"/>
        <v>37</v>
      </c>
      <c r="H438" s="231"/>
      <c r="I438" s="112">
        <f>IF(OR(T$484&lt;1,Spells!AF39=""),"",Spells!AF39&amp;" ("&amp;Spells!AG39&amp;")")</f>
      </c>
      <c r="J438" s="112"/>
      <c r="K438" s="112"/>
      <c r="L438" s="158"/>
      <c r="M438" s="41">
        <f t="shared" si="41"/>
        <v>67</v>
      </c>
      <c r="N438" s="231"/>
      <c r="O438" s="112">
        <f>IF(OR(T$484&lt;1,Spells!AF69=""),"",Spells!AF69&amp;" ("&amp;Spells!AG69&amp;")")</f>
      </c>
      <c r="P438" s="112"/>
      <c r="Q438" s="112"/>
      <c r="R438" s="158"/>
      <c r="S438" s="41">
        <f t="shared" si="43"/>
        <v>97</v>
      </c>
      <c r="T438" s="231"/>
      <c r="U438" s="112">
        <f>IF(OR(T$484&lt;1,Spells!AF99=""),"",Spells!AF99&amp;" ("&amp;Spells!AG99&amp;")")</f>
      </c>
      <c r="V438" s="112"/>
      <c r="W438" s="112"/>
      <c r="X438" s="158"/>
    </row>
    <row r="439" spans="1:24" ht="12.75">
      <c r="A439" s="41">
        <f t="shared" si="42"/>
        <v>8</v>
      </c>
      <c r="B439" s="231"/>
      <c r="C439" s="112">
        <f>IF(OR(T$484&lt;1,Spells!AF10=""),"",Spells!AF10&amp;" ("&amp;Spells!AG10&amp;")")</f>
      </c>
      <c r="D439" s="112"/>
      <c r="E439" s="112"/>
      <c r="F439" s="158"/>
      <c r="G439" s="41">
        <f t="shared" si="40"/>
        <v>38</v>
      </c>
      <c r="H439" s="231"/>
      <c r="I439" s="112">
        <f>IF(OR(T$484&lt;1,Spells!AF40=""),"",Spells!AF40&amp;" ("&amp;Spells!AG40&amp;")")</f>
      </c>
      <c r="J439" s="112"/>
      <c r="K439" s="112"/>
      <c r="L439" s="158"/>
      <c r="M439" s="41">
        <f t="shared" si="41"/>
        <v>68</v>
      </c>
      <c r="N439" s="231"/>
      <c r="O439" s="112">
        <f>IF(OR(T$484&lt;1,Spells!AF70=""),"",Spells!AF70&amp;" ("&amp;Spells!AG70&amp;")")</f>
      </c>
      <c r="P439" s="112"/>
      <c r="Q439" s="112"/>
      <c r="R439" s="158"/>
      <c r="S439" s="41">
        <f t="shared" si="43"/>
        <v>98</v>
      </c>
      <c r="T439" s="231"/>
      <c r="U439" s="112">
        <f>IF(OR(T$484&lt;1,Spells!AF100=""),"",Spells!AF100&amp;" ("&amp;Spells!AG100&amp;")")</f>
      </c>
      <c r="V439" s="112"/>
      <c r="W439" s="112"/>
      <c r="X439" s="158"/>
    </row>
    <row r="440" spans="1:24" ht="12.75">
      <c r="A440" s="41">
        <f t="shared" si="42"/>
        <v>9</v>
      </c>
      <c r="B440" s="231"/>
      <c r="C440" s="112">
        <f>IF(OR(T$484&lt;1,Spells!AF11=""),"",Spells!AF11&amp;" ("&amp;Spells!AG11&amp;")")</f>
      </c>
      <c r="D440" s="112"/>
      <c r="E440" s="112"/>
      <c r="F440" s="158"/>
      <c r="G440" s="41">
        <f t="shared" si="40"/>
        <v>39</v>
      </c>
      <c r="H440" s="231"/>
      <c r="I440" s="112">
        <f>IF(OR(T$484&lt;1,Spells!AF41=""),"",Spells!AF41&amp;" ("&amp;Spells!AG41&amp;")")</f>
      </c>
      <c r="J440" s="112"/>
      <c r="K440" s="112"/>
      <c r="L440" s="158"/>
      <c r="M440" s="41">
        <f t="shared" si="41"/>
        <v>69</v>
      </c>
      <c r="N440" s="231"/>
      <c r="O440" s="112">
        <f>IF(OR(T$484&lt;1,Spells!AF71=""),"",Spells!AF71&amp;" ("&amp;Spells!AG71&amp;")")</f>
      </c>
      <c r="P440" s="112"/>
      <c r="Q440" s="112"/>
      <c r="R440" s="158"/>
      <c r="S440" s="41">
        <f t="shared" si="43"/>
        <v>99</v>
      </c>
      <c r="T440" s="231"/>
      <c r="U440" s="112">
        <f>IF(OR(T$484&lt;1,Spells!AF101=""),"",Spells!AF101&amp;" ("&amp;Spells!AG101&amp;")")</f>
      </c>
      <c r="V440" s="112"/>
      <c r="W440" s="112"/>
      <c r="X440" s="158"/>
    </row>
    <row r="441" spans="1:24" ht="12.75">
      <c r="A441" s="41">
        <f t="shared" si="42"/>
        <v>10</v>
      </c>
      <c r="B441" s="231"/>
      <c r="C441" s="112">
        <f>IF(OR(T$484&lt;1,Spells!AF12=""),"",Spells!AF12&amp;" ("&amp;Spells!AG12&amp;")")</f>
      </c>
      <c r="D441" s="112"/>
      <c r="E441" s="112"/>
      <c r="F441" s="158"/>
      <c r="G441" s="41">
        <f t="shared" si="40"/>
        <v>40</v>
      </c>
      <c r="H441" s="231"/>
      <c r="I441" s="112">
        <f>IF(OR(T$484&lt;1,Spells!AF42=""),"",Spells!AF42&amp;" ("&amp;Spells!AG42&amp;")")</f>
      </c>
      <c r="J441" s="112"/>
      <c r="K441" s="112"/>
      <c r="L441" s="158"/>
      <c r="M441" s="41">
        <f t="shared" si="41"/>
        <v>70</v>
      </c>
      <c r="N441" s="231"/>
      <c r="O441" s="112">
        <f>IF(OR(T$484&lt;1,Spells!AF72=""),"",Spells!AF72&amp;" ("&amp;Spells!AG72&amp;")")</f>
      </c>
      <c r="P441" s="112"/>
      <c r="Q441" s="112"/>
      <c r="R441" s="158"/>
      <c r="S441" s="41">
        <f t="shared" si="43"/>
        <v>100</v>
      </c>
      <c r="T441" s="231"/>
      <c r="U441" s="112">
        <f>IF(OR(T$484&lt;1,Spells!AF102=""),"",Spells!AF102&amp;" ("&amp;Spells!AG102&amp;")")</f>
      </c>
      <c r="V441" s="112"/>
      <c r="W441" s="112"/>
      <c r="X441" s="158"/>
    </row>
    <row r="442" spans="1:24" ht="12.75">
      <c r="A442" s="41">
        <f t="shared" si="42"/>
        <v>11</v>
      </c>
      <c r="B442" s="231"/>
      <c r="C442" s="112">
        <f>IF(OR(T$484&lt;1,Spells!AF13=""),"",Spells!AF13&amp;" ("&amp;Spells!AG13&amp;")")</f>
      </c>
      <c r="D442" s="112"/>
      <c r="E442" s="112"/>
      <c r="F442" s="158"/>
      <c r="G442" s="41">
        <f t="shared" si="40"/>
        <v>41</v>
      </c>
      <c r="H442" s="231"/>
      <c r="I442" s="112">
        <f>IF(OR(T$484&lt;1,Spells!AF43=""),"",Spells!AF43&amp;" ("&amp;Spells!AG43&amp;")")</f>
      </c>
      <c r="J442" s="112"/>
      <c r="K442" s="112"/>
      <c r="L442" s="158"/>
      <c r="M442" s="41">
        <f t="shared" si="41"/>
        <v>71</v>
      </c>
      <c r="N442" s="231"/>
      <c r="O442" s="112">
        <f>IF(OR(T$484&lt;1,Spells!AF73=""),"",Spells!AF73&amp;" ("&amp;Spells!AG73&amp;")")</f>
      </c>
      <c r="P442" s="112"/>
      <c r="Q442" s="112"/>
      <c r="R442" s="158"/>
      <c r="S442" s="41">
        <f t="shared" si="43"/>
        <v>101</v>
      </c>
      <c r="T442" s="231"/>
      <c r="U442" s="112">
        <f>IF(OR(T$484&lt;1,Spells!AF103=""),"",Spells!AF103&amp;" ("&amp;Spells!AG103&amp;")")</f>
      </c>
      <c r="V442" s="112"/>
      <c r="W442" s="112"/>
      <c r="X442" s="158"/>
    </row>
    <row r="443" spans="1:24" ht="12.75">
      <c r="A443" s="41">
        <f t="shared" si="42"/>
        <v>12</v>
      </c>
      <c r="B443" s="231"/>
      <c r="C443" s="112">
        <f>IF(OR(T$484&lt;1,Spells!AF14=""),"",Spells!AF14&amp;" ("&amp;Spells!AG14&amp;")")</f>
      </c>
      <c r="D443" s="112"/>
      <c r="E443" s="112"/>
      <c r="F443" s="158"/>
      <c r="G443" s="41">
        <f t="shared" si="40"/>
        <v>42</v>
      </c>
      <c r="H443" s="231"/>
      <c r="I443" s="112">
        <f>IF(OR(T$484&lt;1,Spells!AF44=""),"",Spells!AF44&amp;" ("&amp;Spells!AG44&amp;")")</f>
      </c>
      <c r="J443" s="112"/>
      <c r="K443" s="112"/>
      <c r="L443" s="158"/>
      <c r="M443" s="41">
        <f t="shared" si="41"/>
        <v>72</v>
      </c>
      <c r="N443" s="231"/>
      <c r="O443" s="112">
        <f>IF(OR(T$484&lt;1,Spells!AF74=""),"",Spells!AF74&amp;" ("&amp;Spells!AG74&amp;")")</f>
      </c>
      <c r="P443" s="112"/>
      <c r="Q443" s="112"/>
      <c r="R443" s="158"/>
      <c r="S443" s="41">
        <f t="shared" si="43"/>
        <v>102</v>
      </c>
      <c r="T443" s="231"/>
      <c r="U443" s="112">
        <f>IF(OR(T$484&lt;1,Spells!AF104=""),"",Spells!AF104&amp;" ("&amp;Spells!AG104&amp;")")</f>
      </c>
      <c r="V443" s="112"/>
      <c r="W443" s="112"/>
      <c r="X443" s="158"/>
    </row>
    <row r="444" spans="1:24" ht="12.75">
      <c r="A444" s="41">
        <f t="shared" si="42"/>
        <v>13</v>
      </c>
      <c r="B444" s="231"/>
      <c r="C444" s="112">
        <f>IF(OR(T$484&lt;1,Spells!AF15=""),"",Spells!AF15&amp;" ("&amp;Spells!AG15&amp;")")</f>
      </c>
      <c r="D444" s="112"/>
      <c r="E444" s="112"/>
      <c r="F444" s="158"/>
      <c r="G444" s="41">
        <f t="shared" si="40"/>
        <v>43</v>
      </c>
      <c r="H444" s="231"/>
      <c r="I444" s="112">
        <f>IF(OR(T$484&lt;1,Spells!AF45=""),"",Spells!AF45&amp;" ("&amp;Spells!AG45&amp;")")</f>
      </c>
      <c r="J444" s="112"/>
      <c r="K444" s="112"/>
      <c r="L444" s="158"/>
      <c r="M444" s="41">
        <f t="shared" si="41"/>
        <v>73</v>
      </c>
      <c r="N444" s="231"/>
      <c r="O444" s="112">
        <f>IF(OR(T$484&lt;1,Spells!AF75=""),"",Spells!AF75&amp;" ("&amp;Spells!AG75&amp;")")</f>
      </c>
      <c r="P444" s="112"/>
      <c r="Q444" s="112"/>
      <c r="R444" s="158"/>
      <c r="S444" s="41">
        <f t="shared" si="43"/>
        <v>103</v>
      </c>
      <c r="T444" s="231"/>
      <c r="U444" s="112">
        <f>IF(OR(T$484&lt;1,Spells!AF105=""),"",Spells!AF105&amp;" ("&amp;Spells!AG105&amp;")")</f>
      </c>
      <c r="V444" s="112"/>
      <c r="W444" s="112"/>
      <c r="X444" s="158"/>
    </row>
    <row r="445" spans="1:24" ht="12.75">
      <c r="A445" s="41">
        <f t="shared" si="42"/>
        <v>14</v>
      </c>
      <c r="B445" s="231"/>
      <c r="C445" s="112">
        <f>IF(OR(T$484&lt;1,Spells!AF16=""),"",Spells!AF16&amp;" ("&amp;Spells!AG16&amp;")")</f>
      </c>
      <c r="D445" s="112"/>
      <c r="E445" s="112"/>
      <c r="F445" s="158"/>
      <c r="G445" s="41">
        <f t="shared" si="40"/>
        <v>44</v>
      </c>
      <c r="H445" s="231"/>
      <c r="I445" s="112">
        <f>IF(OR(T$484&lt;1,Spells!AF46=""),"",Spells!AF46&amp;" ("&amp;Spells!AG46&amp;")")</f>
      </c>
      <c r="J445" s="112"/>
      <c r="K445" s="112"/>
      <c r="L445" s="158"/>
      <c r="M445" s="41">
        <f t="shared" si="41"/>
        <v>74</v>
      </c>
      <c r="N445" s="231"/>
      <c r="O445" s="112">
        <f>IF(OR(T$484&lt;1,Spells!AF76=""),"",Spells!AF76&amp;" ("&amp;Spells!AG76&amp;")")</f>
      </c>
      <c r="P445" s="112"/>
      <c r="Q445" s="112"/>
      <c r="R445" s="158"/>
      <c r="S445" s="41">
        <f t="shared" si="43"/>
        <v>104</v>
      </c>
      <c r="T445" s="231"/>
      <c r="U445" s="112">
        <f>IF(OR(T$484&lt;1,Spells!AF106=""),"",Spells!AF106&amp;" ("&amp;Spells!AG106&amp;")")</f>
      </c>
      <c r="V445" s="112"/>
      <c r="W445" s="112"/>
      <c r="X445" s="158"/>
    </row>
    <row r="446" spans="1:24" ht="12.75">
      <c r="A446" s="41">
        <f t="shared" si="42"/>
        <v>15</v>
      </c>
      <c r="B446" s="231"/>
      <c r="C446" s="112">
        <f>IF(OR(T$484&lt;1,Spells!AF17=""),"",Spells!AF17&amp;" ("&amp;Spells!AG17&amp;")")</f>
      </c>
      <c r="D446" s="112"/>
      <c r="E446" s="112"/>
      <c r="F446" s="158"/>
      <c r="G446" s="41">
        <f t="shared" si="40"/>
        <v>45</v>
      </c>
      <c r="H446" s="231"/>
      <c r="I446" s="112">
        <f>IF(OR(T$484&lt;1,Spells!AF47=""),"",Spells!AF47&amp;" ("&amp;Spells!AG47&amp;")")</f>
      </c>
      <c r="J446" s="112"/>
      <c r="K446" s="112"/>
      <c r="L446" s="158"/>
      <c r="M446" s="41">
        <f t="shared" si="41"/>
        <v>75</v>
      </c>
      <c r="N446" s="231"/>
      <c r="O446" s="112">
        <f>IF(OR(T$484&lt;1,Spells!AF77=""),"",Spells!AF77&amp;" ("&amp;Spells!AG77&amp;")")</f>
      </c>
      <c r="P446" s="112"/>
      <c r="Q446" s="112"/>
      <c r="R446" s="158"/>
      <c r="S446" s="41">
        <f t="shared" si="43"/>
        <v>105</v>
      </c>
      <c r="T446" s="231"/>
      <c r="U446" s="112">
        <f>IF(OR(T$484&lt;1,Spells!AF107=""),"",Spells!AF107&amp;" ("&amp;Spells!AG107&amp;")")</f>
      </c>
      <c r="V446" s="112"/>
      <c r="W446" s="112"/>
      <c r="X446" s="158"/>
    </row>
    <row r="447" spans="1:24" ht="12.75">
      <c r="A447" s="41">
        <f t="shared" si="42"/>
        <v>16</v>
      </c>
      <c r="B447" s="231"/>
      <c r="C447" s="112">
        <f>IF(OR(T$484&lt;1,Spells!AF18=""),"",Spells!AF18&amp;" ("&amp;Spells!AG18&amp;")")</f>
      </c>
      <c r="D447" s="112"/>
      <c r="E447" s="112"/>
      <c r="F447" s="158"/>
      <c r="G447" s="41">
        <f t="shared" si="40"/>
        <v>46</v>
      </c>
      <c r="H447" s="231"/>
      <c r="I447" s="112">
        <f>IF(OR(T$484&lt;1,Spells!AF48=""),"",Spells!AF48&amp;" ("&amp;Spells!AG48&amp;")")</f>
      </c>
      <c r="J447" s="112"/>
      <c r="K447" s="112"/>
      <c r="L447" s="158"/>
      <c r="M447" s="41">
        <f t="shared" si="41"/>
        <v>76</v>
      </c>
      <c r="N447" s="231"/>
      <c r="O447" s="112">
        <f>IF(OR(T$484&lt;1,Spells!AF78=""),"",Spells!AF78&amp;" ("&amp;Spells!AG78&amp;")")</f>
      </c>
      <c r="P447" s="112"/>
      <c r="Q447" s="112"/>
      <c r="R447" s="158"/>
      <c r="S447" s="41">
        <f t="shared" si="43"/>
        <v>106</v>
      </c>
      <c r="T447" s="231"/>
      <c r="U447" s="112">
        <f>IF(OR(T$484&lt;1,Spells!AF108=""),"",Spells!AF108&amp;" ("&amp;Spells!AG108&amp;")")</f>
      </c>
      <c r="V447" s="112"/>
      <c r="W447" s="112"/>
      <c r="X447" s="158"/>
    </row>
    <row r="448" spans="1:24" ht="12.75">
      <c r="A448" s="41">
        <f t="shared" si="42"/>
        <v>17</v>
      </c>
      <c r="B448" s="231"/>
      <c r="C448" s="112">
        <f>IF(OR(T$484&lt;1,Spells!AF19=""),"",Spells!AF19&amp;" ("&amp;Spells!AG19&amp;")")</f>
      </c>
      <c r="D448" s="112"/>
      <c r="E448" s="112"/>
      <c r="F448" s="158"/>
      <c r="G448" s="41">
        <f t="shared" si="40"/>
        <v>47</v>
      </c>
      <c r="H448" s="231"/>
      <c r="I448" s="112">
        <f>IF(OR(T$484&lt;1,Spells!AF49=""),"",Spells!AF49&amp;" ("&amp;Spells!AG49&amp;")")</f>
      </c>
      <c r="J448" s="112"/>
      <c r="K448" s="112"/>
      <c r="L448" s="158"/>
      <c r="M448" s="41">
        <f t="shared" si="41"/>
        <v>77</v>
      </c>
      <c r="N448" s="231"/>
      <c r="O448" s="112">
        <f>IF(OR(T$484&lt;1,Spells!AF79=""),"",Spells!AF79&amp;" ("&amp;Spells!AG79&amp;")")</f>
      </c>
      <c r="P448" s="112"/>
      <c r="Q448" s="112"/>
      <c r="R448" s="158"/>
      <c r="S448" s="41">
        <f t="shared" si="43"/>
        <v>107</v>
      </c>
      <c r="T448" s="231"/>
      <c r="U448" s="112">
        <f>IF(OR(T$484&lt;1,Spells!AF109=""),"",Spells!AF109&amp;" ("&amp;Spells!AG109&amp;")")</f>
      </c>
      <c r="V448" s="112"/>
      <c r="W448" s="112"/>
      <c r="X448" s="158"/>
    </row>
    <row r="449" spans="1:24" ht="12.75">
      <c r="A449" s="41">
        <f t="shared" si="42"/>
        <v>18</v>
      </c>
      <c r="B449" s="231"/>
      <c r="C449" s="112">
        <f>IF(OR(T$484&lt;1,Spells!AF20=""),"",Spells!AF20&amp;" ("&amp;Spells!AG20&amp;")")</f>
      </c>
      <c r="D449" s="112"/>
      <c r="E449" s="112"/>
      <c r="F449" s="158"/>
      <c r="G449" s="41">
        <f t="shared" si="40"/>
        <v>48</v>
      </c>
      <c r="H449" s="231"/>
      <c r="I449" s="112">
        <f>IF(OR(T$484&lt;1,Spells!AF50=""),"",Spells!AF50&amp;" ("&amp;Spells!AG50&amp;")")</f>
      </c>
      <c r="J449" s="112"/>
      <c r="K449" s="112"/>
      <c r="L449" s="158"/>
      <c r="M449" s="41">
        <f t="shared" si="41"/>
        <v>78</v>
      </c>
      <c r="N449" s="231"/>
      <c r="O449" s="112">
        <f>IF(OR(T$484&lt;1,Spells!AF80=""),"",Spells!AF80&amp;" ("&amp;Spells!AG80&amp;")")</f>
      </c>
      <c r="P449" s="112"/>
      <c r="Q449" s="112"/>
      <c r="R449" s="158"/>
      <c r="S449" s="41">
        <f t="shared" si="43"/>
        <v>108</v>
      </c>
      <c r="T449" s="231"/>
      <c r="U449" s="112">
        <f>IF(OR(T$484&lt;1,Spells!AF110=""),"",Spells!AF110&amp;" ("&amp;Spells!AG110&amp;")")</f>
      </c>
      <c r="V449" s="112"/>
      <c r="W449" s="112"/>
      <c r="X449" s="158"/>
    </row>
    <row r="450" spans="1:24" ht="12.75">
      <c r="A450" s="41">
        <f t="shared" si="42"/>
        <v>19</v>
      </c>
      <c r="B450" s="231"/>
      <c r="C450" s="112">
        <f>IF(OR(T$484&lt;1,Spells!AF21=""),"",Spells!AF21&amp;" ("&amp;Spells!AG21&amp;")")</f>
      </c>
      <c r="D450" s="112"/>
      <c r="E450" s="112"/>
      <c r="F450" s="158"/>
      <c r="G450" s="41">
        <f t="shared" si="40"/>
        <v>49</v>
      </c>
      <c r="H450" s="231"/>
      <c r="I450" s="112">
        <f>IF(OR(T$484&lt;1,Spells!AF51=""),"",Spells!AF51&amp;" ("&amp;Spells!AG51&amp;")")</f>
      </c>
      <c r="J450" s="112"/>
      <c r="K450" s="112"/>
      <c r="L450" s="158"/>
      <c r="M450" s="41">
        <f t="shared" si="41"/>
        <v>79</v>
      </c>
      <c r="N450" s="231"/>
      <c r="O450" s="112">
        <f>IF(OR(T$484&lt;1,Spells!AF81=""),"",Spells!AF81&amp;" ("&amp;Spells!AG81&amp;")")</f>
      </c>
      <c r="P450" s="112"/>
      <c r="Q450" s="112"/>
      <c r="R450" s="158"/>
      <c r="S450" s="41">
        <f t="shared" si="43"/>
        <v>109</v>
      </c>
      <c r="T450" s="231"/>
      <c r="U450" s="112">
        <f>IF(OR(T$484&lt;1,Spells!AF111=""),"",Spells!AF111&amp;" ("&amp;Spells!AG111&amp;")")</f>
      </c>
      <c r="V450" s="112"/>
      <c r="W450" s="112"/>
      <c r="X450" s="158"/>
    </row>
    <row r="451" spans="1:24" ht="12.75">
      <c r="A451" s="41">
        <f t="shared" si="42"/>
        <v>20</v>
      </c>
      <c r="B451" s="231"/>
      <c r="C451" s="112">
        <f>IF(OR(T$484&lt;1,Spells!AF22=""),"",Spells!AF22&amp;" ("&amp;Spells!AG22&amp;")")</f>
      </c>
      <c r="D451" s="112"/>
      <c r="E451" s="112"/>
      <c r="F451" s="158"/>
      <c r="G451" s="41">
        <f t="shared" si="40"/>
        <v>50</v>
      </c>
      <c r="H451" s="231"/>
      <c r="I451" s="112">
        <f>IF(OR(T$484&lt;1,Spells!AF52=""),"",Spells!AF52&amp;" ("&amp;Spells!AG52&amp;")")</f>
      </c>
      <c r="J451" s="112"/>
      <c r="K451" s="112"/>
      <c r="L451" s="158"/>
      <c r="M451" s="41">
        <f t="shared" si="41"/>
        <v>80</v>
      </c>
      <c r="N451" s="231"/>
      <c r="O451" s="112">
        <f>IF(OR(T$484&lt;1,Spells!AF82=""),"",Spells!AF82&amp;" ("&amp;Spells!AG82&amp;")")</f>
      </c>
      <c r="P451" s="112"/>
      <c r="Q451" s="112"/>
      <c r="R451" s="158"/>
      <c r="S451" s="41">
        <f t="shared" si="43"/>
        <v>110</v>
      </c>
      <c r="T451" s="231"/>
      <c r="U451" s="112">
        <f>IF(OR(T$484&lt;1,Spells!AF112=""),"",Spells!AF112&amp;" ("&amp;Spells!AG112&amp;")")</f>
      </c>
      <c r="V451" s="112"/>
      <c r="W451" s="112"/>
      <c r="X451" s="158"/>
    </row>
    <row r="452" spans="1:24" ht="12.75">
      <c r="A452" s="41">
        <f t="shared" si="42"/>
        <v>21</v>
      </c>
      <c r="B452" s="231"/>
      <c r="C452" s="112">
        <f>IF(OR(T$484&lt;1,Spells!AF23=""),"",Spells!AF23&amp;" ("&amp;Spells!AG23&amp;")")</f>
      </c>
      <c r="D452" s="112"/>
      <c r="E452" s="112"/>
      <c r="F452" s="158"/>
      <c r="G452" s="41">
        <f t="shared" si="40"/>
        <v>51</v>
      </c>
      <c r="H452" s="231"/>
      <c r="I452" s="112">
        <f>IF(OR(T$484&lt;1,Spells!AF53=""),"",Spells!AF53&amp;" ("&amp;Spells!AG53&amp;")")</f>
      </c>
      <c r="J452" s="112"/>
      <c r="K452" s="112"/>
      <c r="L452" s="158"/>
      <c r="M452" s="41">
        <f t="shared" si="41"/>
        <v>81</v>
      </c>
      <c r="N452" s="231"/>
      <c r="O452" s="112">
        <f>IF(OR(T$484&lt;1,Spells!AF83=""),"",Spells!AF83&amp;" ("&amp;Spells!AG83&amp;")")</f>
      </c>
      <c r="P452" s="112"/>
      <c r="Q452" s="112"/>
      <c r="R452" s="158"/>
      <c r="S452" s="41">
        <f t="shared" si="43"/>
        <v>111</v>
      </c>
      <c r="T452" s="231"/>
      <c r="U452" s="112">
        <f>IF(OR(T$484&lt;1,Spells!AF113=""),"",Spells!AF113&amp;" ("&amp;Spells!AG113&amp;")")</f>
      </c>
      <c r="V452" s="112"/>
      <c r="W452" s="112"/>
      <c r="X452" s="158"/>
    </row>
    <row r="453" spans="1:24" ht="12.75">
      <c r="A453" s="41">
        <f t="shared" si="42"/>
        <v>22</v>
      </c>
      <c r="B453" s="231"/>
      <c r="C453" s="112">
        <f>IF(OR(T$484&lt;1,Spells!AF24=""),"",Spells!AF24&amp;" ("&amp;Spells!AG24&amp;")")</f>
      </c>
      <c r="D453" s="112"/>
      <c r="E453" s="112"/>
      <c r="F453" s="158"/>
      <c r="G453" s="41">
        <f t="shared" si="40"/>
        <v>52</v>
      </c>
      <c r="H453" s="231"/>
      <c r="I453" s="112">
        <f>IF(OR(T$484&lt;1,Spells!AF54=""),"",Spells!AF54&amp;" ("&amp;Spells!AG54&amp;")")</f>
      </c>
      <c r="J453" s="112"/>
      <c r="K453" s="112"/>
      <c r="L453" s="158"/>
      <c r="M453" s="41">
        <f t="shared" si="41"/>
        <v>82</v>
      </c>
      <c r="N453" s="231"/>
      <c r="O453" s="112">
        <f>IF(OR(T$484&lt;1,Spells!AF84=""),"",Spells!AF84&amp;" ("&amp;Spells!AG84&amp;")")</f>
      </c>
      <c r="P453" s="112"/>
      <c r="Q453" s="112"/>
      <c r="R453" s="158"/>
      <c r="S453" s="41">
        <f t="shared" si="43"/>
        <v>112</v>
      </c>
      <c r="T453" s="231"/>
      <c r="U453" s="112">
        <f>IF(OR(T$484&lt;1,Spells!AF114=""),"",Spells!AF114&amp;" ("&amp;Spells!AG114&amp;")")</f>
      </c>
      <c r="V453" s="112"/>
      <c r="W453" s="112"/>
      <c r="X453" s="158"/>
    </row>
    <row r="454" spans="1:24" ht="12.75">
      <c r="A454" s="41">
        <f t="shared" si="42"/>
        <v>23</v>
      </c>
      <c r="B454" s="231"/>
      <c r="C454" s="112">
        <f>IF(OR(T$484&lt;1,Spells!AF25=""),"",Spells!AF25&amp;" ("&amp;Spells!AG25&amp;")")</f>
      </c>
      <c r="D454" s="112"/>
      <c r="E454" s="112"/>
      <c r="F454" s="158"/>
      <c r="G454" s="41">
        <f t="shared" si="40"/>
        <v>53</v>
      </c>
      <c r="H454" s="231"/>
      <c r="I454" s="112">
        <f>IF(OR(T$484&lt;1,Spells!AF55=""),"",Spells!AF55&amp;" ("&amp;Spells!AG55&amp;")")</f>
      </c>
      <c r="J454" s="112"/>
      <c r="K454" s="112"/>
      <c r="L454" s="158"/>
      <c r="M454" s="41">
        <f t="shared" si="41"/>
        <v>83</v>
      </c>
      <c r="N454" s="231"/>
      <c r="O454" s="112">
        <f>IF(OR(T$484&lt;1,Spells!AF85=""),"",Spells!AF85&amp;" ("&amp;Spells!AG85&amp;")")</f>
      </c>
      <c r="P454" s="112"/>
      <c r="Q454" s="112"/>
      <c r="R454" s="158"/>
      <c r="S454" s="41">
        <f t="shared" si="43"/>
        <v>113</v>
      </c>
      <c r="T454" s="231"/>
      <c r="U454" s="112">
        <f>IF(OR(T$484&lt;1,Spells!AF115=""),"",Spells!AF115&amp;" ("&amp;Spells!AG115&amp;")")</f>
      </c>
      <c r="V454" s="112"/>
      <c r="W454" s="112"/>
      <c r="X454" s="158"/>
    </row>
    <row r="455" spans="1:24" ht="12.75">
      <c r="A455" s="41">
        <f t="shared" si="42"/>
        <v>24</v>
      </c>
      <c r="B455" s="231"/>
      <c r="C455" s="112">
        <f>IF(OR(T$484&lt;1,Spells!AF26=""),"",Spells!AF26&amp;" ("&amp;Spells!AG26&amp;")")</f>
      </c>
      <c r="D455" s="112"/>
      <c r="E455" s="112"/>
      <c r="F455" s="158"/>
      <c r="G455" s="41">
        <f t="shared" si="40"/>
        <v>54</v>
      </c>
      <c r="H455" s="231"/>
      <c r="I455" s="112">
        <f>IF(OR(T$484&lt;1,Spells!AF56=""),"",Spells!AF56&amp;" ("&amp;Spells!AG56&amp;")")</f>
      </c>
      <c r="J455" s="112"/>
      <c r="K455" s="112"/>
      <c r="L455" s="158"/>
      <c r="M455" s="41">
        <f t="shared" si="41"/>
        <v>84</v>
      </c>
      <c r="N455" s="231"/>
      <c r="O455" s="112">
        <f>IF(OR(T$484&lt;1,Spells!AF86=""),"",Spells!AF86&amp;" ("&amp;Spells!AG86&amp;")")</f>
      </c>
      <c r="P455" s="112"/>
      <c r="Q455" s="112"/>
      <c r="R455" s="158"/>
      <c r="S455" s="41">
        <f t="shared" si="43"/>
        <v>114</v>
      </c>
      <c r="T455" s="231"/>
      <c r="U455" s="112">
        <f>IF(OR(T$484&lt;1,Spells!AF116=""),"",Spells!AF116&amp;" ("&amp;Spells!AG116&amp;")")</f>
      </c>
      <c r="V455" s="112"/>
      <c r="W455" s="112"/>
      <c r="X455" s="158"/>
    </row>
    <row r="456" spans="1:24" ht="12.75">
      <c r="A456" s="41">
        <f t="shared" si="42"/>
        <v>25</v>
      </c>
      <c r="B456" s="231"/>
      <c r="C456" s="112">
        <f>IF(OR(T$484&lt;1,Spells!AF27=""),"",Spells!AF27&amp;" ("&amp;Spells!AG27&amp;")")</f>
      </c>
      <c r="D456" s="112"/>
      <c r="E456" s="112"/>
      <c r="F456" s="158"/>
      <c r="G456" s="41">
        <f t="shared" si="40"/>
        <v>55</v>
      </c>
      <c r="H456" s="231"/>
      <c r="I456" s="112">
        <f>IF(OR(T$484&lt;1,Spells!AF57=""),"",Spells!AF57&amp;" ("&amp;Spells!AG57&amp;")")</f>
      </c>
      <c r="J456" s="112"/>
      <c r="K456" s="112"/>
      <c r="L456" s="158"/>
      <c r="M456" s="41">
        <f t="shared" si="41"/>
        <v>85</v>
      </c>
      <c r="N456" s="231"/>
      <c r="O456" s="112">
        <f>IF(OR(T$484&lt;1,Spells!AF87=""),"",Spells!AF87&amp;" ("&amp;Spells!AG87&amp;")")</f>
      </c>
      <c r="P456" s="112"/>
      <c r="Q456" s="112"/>
      <c r="R456" s="158"/>
      <c r="S456" s="41">
        <f t="shared" si="43"/>
        <v>115</v>
      </c>
      <c r="T456" s="231"/>
      <c r="U456" s="112">
        <f>IF(OR(T$484&lt;1,Spells!AF117=""),"",Spells!AF117&amp;" ("&amp;Spells!AG117&amp;")")</f>
      </c>
      <c r="V456" s="112"/>
      <c r="W456" s="112"/>
      <c r="X456" s="158"/>
    </row>
    <row r="457" spans="1:24" ht="12.75">
      <c r="A457" s="41">
        <f t="shared" si="42"/>
        <v>26</v>
      </c>
      <c r="B457" s="231"/>
      <c r="C457" s="112">
        <f>IF(OR(T$484&lt;1,Spells!AF28=""),"",Spells!AF28&amp;" ("&amp;Spells!AG28&amp;")")</f>
      </c>
      <c r="D457" s="112"/>
      <c r="E457" s="112"/>
      <c r="F457" s="158"/>
      <c r="G457" s="41">
        <f t="shared" si="40"/>
        <v>56</v>
      </c>
      <c r="H457" s="231"/>
      <c r="I457" s="112">
        <f>IF(OR(T$484&lt;1,Spells!AF58=""),"",Spells!AF58&amp;" ("&amp;Spells!AG58&amp;")")</f>
      </c>
      <c r="J457" s="112"/>
      <c r="K457" s="112"/>
      <c r="L457" s="158"/>
      <c r="M457" s="41">
        <f t="shared" si="41"/>
        <v>86</v>
      </c>
      <c r="N457" s="231"/>
      <c r="O457" s="112">
        <f>IF(OR(T$484&lt;1,Spells!AF88=""),"",Spells!AF88&amp;" ("&amp;Spells!AG88&amp;")")</f>
      </c>
      <c r="P457" s="112"/>
      <c r="Q457" s="112"/>
      <c r="R457" s="158"/>
      <c r="S457" s="41">
        <f t="shared" si="43"/>
        <v>116</v>
      </c>
      <c r="T457" s="231"/>
      <c r="U457" s="112">
        <f>IF(OR(T$484&lt;1,Spells!AF118=""),"",Spells!AF118&amp;" ("&amp;Spells!AG118&amp;")")</f>
      </c>
      <c r="V457" s="112"/>
      <c r="W457" s="112"/>
      <c r="X457" s="158"/>
    </row>
    <row r="458" spans="1:24" ht="12.75">
      <c r="A458" s="41">
        <f t="shared" si="42"/>
        <v>27</v>
      </c>
      <c r="B458" s="231"/>
      <c r="C458" s="112">
        <f>IF(OR(T$484&lt;1,Spells!AF29=""),"",Spells!AF29&amp;" ("&amp;Spells!AG29&amp;")")</f>
      </c>
      <c r="D458" s="112"/>
      <c r="E458" s="112"/>
      <c r="F458" s="158"/>
      <c r="G458" s="41">
        <f t="shared" si="40"/>
        <v>57</v>
      </c>
      <c r="H458" s="231"/>
      <c r="I458" s="112">
        <f>IF(OR(T$484&lt;1,Spells!AF59=""),"",Spells!AF59&amp;" ("&amp;Spells!AG59&amp;")")</f>
      </c>
      <c r="J458" s="112"/>
      <c r="K458" s="112"/>
      <c r="L458" s="158"/>
      <c r="M458" s="41">
        <f t="shared" si="41"/>
        <v>87</v>
      </c>
      <c r="N458" s="231"/>
      <c r="O458" s="112">
        <f>IF(OR(T$484&lt;1,Spells!AF89=""),"",Spells!AF89&amp;" ("&amp;Spells!AG89&amp;")")</f>
      </c>
      <c r="P458" s="112"/>
      <c r="Q458" s="112"/>
      <c r="R458" s="158"/>
      <c r="S458" s="41">
        <f t="shared" si="43"/>
        <v>117</v>
      </c>
      <c r="T458" s="231"/>
      <c r="U458" s="112">
        <f>IF(OR(T$484&lt;1,Spells!AF119=""),"",Spells!AF119&amp;" ("&amp;Spells!AG119&amp;")")</f>
      </c>
      <c r="V458" s="112"/>
      <c r="W458" s="112"/>
      <c r="X458" s="158"/>
    </row>
    <row r="459" spans="1:24" ht="12.75">
      <c r="A459" s="41">
        <f t="shared" si="42"/>
        <v>28</v>
      </c>
      <c r="B459" s="231"/>
      <c r="C459" s="112">
        <f>IF(OR(T$484&lt;1,Spells!AF30=""),"",Spells!AF30&amp;" ("&amp;Spells!AG30&amp;")")</f>
      </c>
      <c r="D459" s="112"/>
      <c r="E459" s="112"/>
      <c r="F459" s="158"/>
      <c r="G459" s="41">
        <f t="shared" si="40"/>
        <v>58</v>
      </c>
      <c r="H459" s="231"/>
      <c r="I459" s="112">
        <f>IF(OR(T$484&lt;1,Spells!AF60=""),"",Spells!AF60&amp;" ("&amp;Spells!AG60&amp;")")</f>
      </c>
      <c r="J459" s="112"/>
      <c r="K459" s="112"/>
      <c r="L459" s="158"/>
      <c r="M459" s="41">
        <f t="shared" si="41"/>
        <v>88</v>
      </c>
      <c r="N459" s="231"/>
      <c r="O459" s="112">
        <f>IF(OR(T$484&lt;1,Spells!AF90=""),"",Spells!AF90&amp;" ("&amp;Spells!AG90&amp;")")</f>
      </c>
      <c r="P459" s="112"/>
      <c r="Q459" s="112"/>
      <c r="R459" s="158"/>
      <c r="S459" s="41">
        <f t="shared" si="43"/>
        <v>118</v>
      </c>
      <c r="T459" s="231"/>
      <c r="U459" s="112">
        <f>IF(OR(T$484&lt;1,Spells!AF120=""),"",Spells!AF120&amp;" ("&amp;Spells!AG120&amp;")")</f>
      </c>
      <c r="V459" s="112"/>
      <c r="W459" s="112"/>
      <c r="X459" s="158"/>
    </row>
    <row r="460" spans="1:24" ht="12.75">
      <c r="A460" s="41">
        <f t="shared" si="42"/>
        <v>29</v>
      </c>
      <c r="B460" s="231"/>
      <c r="C460" s="112">
        <f>IF(OR(T$484&lt;1,Spells!AF31=""),"",Spells!AF31&amp;" ("&amp;Spells!AG31&amp;")")</f>
      </c>
      <c r="D460" s="112"/>
      <c r="E460" s="112"/>
      <c r="F460" s="158"/>
      <c r="G460" s="41">
        <f t="shared" si="40"/>
        <v>59</v>
      </c>
      <c r="H460" s="231"/>
      <c r="I460" s="112">
        <f>IF(OR(T$484&lt;1,Spells!AF61=""),"",Spells!AF61&amp;" ("&amp;Spells!AG61&amp;")")</f>
      </c>
      <c r="J460" s="112"/>
      <c r="K460" s="112"/>
      <c r="L460" s="158"/>
      <c r="M460" s="41">
        <f t="shared" si="41"/>
        <v>89</v>
      </c>
      <c r="N460" s="231"/>
      <c r="O460" s="112">
        <f>IF(OR(T$484&lt;1,Spells!AF91=""),"",Spells!AF91&amp;" ("&amp;Spells!AG91&amp;")")</f>
      </c>
      <c r="P460" s="112"/>
      <c r="Q460" s="112"/>
      <c r="R460" s="158"/>
      <c r="S460" s="41">
        <f t="shared" si="43"/>
        <v>119</v>
      </c>
      <c r="T460" s="231"/>
      <c r="U460" s="112">
        <f>IF(OR(T$484&lt;1,Spells!AF121=""),"",Spells!AF121&amp;" ("&amp;Spells!AG121&amp;")")</f>
      </c>
      <c r="V460" s="112"/>
      <c r="W460" s="112"/>
      <c r="X460" s="158"/>
    </row>
    <row r="461" spans="1:24" ht="13.5" thickBot="1">
      <c r="A461" s="41">
        <f t="shared" si="42"/>
        <v>30</v>
      </c>
      <c r="B461" s="232"/>
      <c r="C461" s="162">
        <f>IF(OR(T$484&lt;1,Spells!AF32=""),"",Spells!AF32&amp;" ("&amp;Spells!AG32&amp;")")</f>
      </c>
      <c r="D461" s="162"/>
      <c r="E461" s="162"/>
      <c r="F461" s="234"/>
      <c r="G461" s="41">
        <f t="shared" si="40"/>
        <v>60</v>
      </c>
      <c r="H461" s="232"/>
      <c r="I461" s="162">
        <f>IF(OR(T$484&lt;1,Spells!AF62=""),"",Spells!AF62&amp;" ("&amp;Spells!AG62&amp;")")</f>
      </c>
      <c r="J461" s="162"/>
      <c r="K461" s="162"/>
      <c r="L461" s="234"/>
      <c r="M461" s="41">
        <f t="shared" si="41"/>
        <v>90</v>
      </c>
      <c r="N461" s="232"/>
      <c r="O461" s="162">
        <f>IF(OR(T$484&lt;1,Spells!AF92=""),"",Spells!AF92&amp;" ("&amp;Spells!AG92&amp;")")</f>
      </c>
      <c r="P461" s="162"/>
      <c r="Q461" s="162"/>
      <c r="R461" s="234"/>
      <c r="S461" s="41">
        <f t="shared" si="43"/>
        <v>120</v>
      </c>
      <c r="T461" s="232"/>
      <c r="U461" s="112">
        <f>IF(OR(T$484&lt;1,Spells!AF122=""),"",Spells!AF122&amp;" ("&amp;Spells!AG122&amp;")")</f>
      </c>
      <c r="V461" s="162"/>
      <c r="W461" s="162"/>
      <c r="X461" s="234"/>
    </row>
    <row r="467" ht="12.75">
      <c r="B467" s="41" t="s">
        <v>566</v>
      </c>
    </row>
    <row r="475" spans="2:31" ht="12.75">
      <c r="B475" s="124"/>
      <c r="C475" s="124"/>
      <c r="D475" s="124"/>
      <c r="E475" s="124"/>
      <c r="F475" s="124"/>
      <c r="H475" s="124"/>
      <c r="I475" s="124"/>
      <c r="J475" s="124"/>
      <c r="K475" s="124"/>
      <c r="L475" s="124"/>
      <c r="N475" s="124"/>
      <c r="O475" s="124"/>
      <c r="P475" s="124"/>
      <c r="Q475" s="124"/>
      <c r="R475" s="124"/>
      <c r="T475" s="124"/>
      <c r="U475" s="124"/>
      <c r="V475" s="124"/>
      <c r="W475" s="124"/>
      <c r="X475" s="124"/>
      <c r="AC475" s="247" t="s">
        <v>1809</v>
      </c>
      <c r="AD475" s="256" t="s">
        <v>1808</v>
      </c>
      <c r="AE475" s="381" t="e">
        <f>MID(C493,6,10)&amp;MID(C494,6,10)</f>
        <v>#N/A</v>
      </c>
    </row>
    <row r="476" spans="2:31" ht="12.75">
      <c r="B476" s="124"/>
      <c r="C476" s="124"/>
      <c r="D476" s="124"/>
      <c r="E476" s="124"/>
      <c r="F476" s="124"/>
      <c r="H476" s="124"/>
      <c r="I476" s="124"/>
      <c r="J476" s="124"/>
      <c r="K476" s="124"/>
      <c r="L476" s="124"/>
      <c r="N476" s="124"/>
      <c r="O476" s="124"/>
      <c r="P476" s="124"/>
      <c r="Q476" s="124"/>
      <c r="R476" s="124"/>
      <c r="T476" s="124"/>
      <c r="U476" s="124"/>
      <c r="V476" s="124"/>
      <c r="W476" s="124"/>
      <c r="X476" s="124"/>
      <c r="AC476" s="137" t="s">
        <v>2390</v>
      </c>
      <c r="AD476" s="374" t="s">
        <v>2564</v>
      </c>
      <c r="AE476" s="375">
        <f>IF(ISERROR(FIND($AC476,AE$475)),"",", "&amp;$AD476)</f>
      </c>
    </row>
    <row r="477" spans="2:31" ht="12.75">
      <c r="B477" s="247" t="s">
        <v>2585</v>
      </c>
      <c r="C477" s="256" t="s">
        <v>1757</v>
      </c>
      <c r="D477" s="248" t="s">
        <v>1758</v>
      </c>
      <c r="E477" s="247" t="s">
        <v>1797</v>
      </c>
      <c r="F477" s="256" t="s">
        <v>2374</v>
      </c>
      <c r="G477" s="256" t="s">
        <v>1798</v>
      </c>
      <c r="H477" s="256" t="s">
        <v>1799</v>
      </c>
      <c r="I477" s="256" t="s">
        <v>1800</v>
      </c>
      <c r="J477" s="256" t="s">
        <v>1801</v>
      </c>
      <c r="K477" s="256" t="s">
        <v>1794</v>
      </c>
      <c r="L477" s="256" t="s">
        <v>1760</v>
      </c>
      <c r="M477" s="256" t="s">
        <v>793</v>
      </c>
      <c r="N477" s="256" t="s">
        <v>2487</v>
      </c>
      <c r="O477" s="256" t="s">
        <v>2385</v>
      </c>
      <c r="P477" s="256" t="s">
        <v>2594</v>
      </c>
      <c r="Q477" s="256" t="s">
        <v>2595</v>
      </c>
      <c r="R477" s="256" t="s">
        <v>2403</v>
      </c>
      <c r="S477" s="256" t="s">
        <v>1813</v>
      </c>
      <c r="T477" s="256" t="s">
        <v>1795</v>
      </c>
      <c r="U477" s="256" t="s">
        <v>1796</v>
      </c>
      <c r="V477" s="256" t="s">
        <v>1812</v>
      </c>
      <c r="W477" s="248" t="s">
        <v>2597</v>
      </c>
      <c r="AC477" s="137" t="s">
        <v>2391</v>
      </c>
      <c r="AD477" s="374" t="s">
        <v>2565</v>
      </c>
      <c r="AE477" s="375">
        <f aca="true" t="shared" si="44" ref="AE477:AE492">AE476&amp;IF(ISERROR(FIND($AC477,AE$475)),"",", "&amp;$AD477)</f>
      </c>
    </row>
    <row r="478" spans="2:37" ht="12.75">
      <c r="B478" s="137" t="e">
        <f>MATCH(Race,Tables!E5:E12)</f>
        <v>#N/A</v>
      </c>
      <c r="C478" s="112" t="b">
        <f>NOT(ISERROR(MATCH(Dicipline1,Diciplines!D3:Y3,0)))</f>
        <v>0</v>
      </c>
      <c r="D478" s="113" t="b">
        <f>NOT(ISERROR(MATCH(Dicipline2,Diciplines!D3:Y3,0)))</f>
        <v>0</v>
      </c>
      <c r="E478" s="137" t="e">
        <f aca="true" ca="1" t="array" ref="E478:W478">OFFSET(RacialHeader,B478,0)</f>
        <v>#N/A</v>
      </c>
      <c r="F478" s="122" t="e">
        <v>#N/A</v>
      </c>
      <c r="G478" s="122" t="e">
        <v>#N/A</v>
      </c>
      <c r="H478" s="122" t="e">
        <v>#N/A</v>
      </c>
      <c r="I478" s="122" t="e">
        <v>#N/A</v>
      </c>
      <c r="J478" s="122" t="e">
        <v>#N/A</v>
      </c>
      <c r="K478" s="122" t="e">
        <v>#N/A</v>
      </c>
      <c r="L478" s="119" t="e">
        <v>#N/A</v>
      </c>
      <c r="M478" s="119" t="e">
        <v>#N/A</v>
      </c>
      <c r="N478" s="122" t="e">
        <v>#N/A</v>
      </c>
      <c r="O478" s="122" t="e">
        <v>#N/A</v>
      </c>
      <c r="P478" s="122" t="e">
        <v>#N/A</v>
      </c>
      <c r="Q478" s="122" t="e">
        <v>#N/A</v>
      </c>
      <c r="R478" s="122" t="e">
        <v>#N/A</v>
      </c>
      <c r="S478" s="122" t="e">
        <v>#N/A</v>
      </c>
      <c r="T478" s="122" t="e">
        <v>#N/A</v>
      </c>
      <c r="U478" s="122" t="e">
        <v>#N/A</v>
      </c>
      <c r="V478" s="122" t="e">
        <v>#N/A</v>
      </c>
      <c r="W478" s="123" t="e">
        <v>#N/A</v>
      </c>
      <c r="AC478" s="137" t="s">
        <v>2392</v>
      </c>
      <c r="AD478" s="374" t="s">
        <v>2429</v>
      </c>
      <c r="AE478" s="375">
        <f t="shared" si="44"/>
      </c>
      <c r="AF478"/>
      <c r="AG478"/>
      <c r="AH478"/>
      <c r="AI478"/>
      <c r="AJ478"/>
      <c r="AK478"/>
    </row>
    <row r="479" spans="29:37" ht="12.75">
      <c r="AC479" s="137" t="s">
        <v>2393</v>
      </c>
      <c r="AD479" s="374" t="s">
        <v>2566</v>
      </c>
      <c r="AE479" s="375">
        <f t="shared" si="44"/>
      </c>
      <c r="AF479"/>
      <c r="AG479"/>
      <c r="AH479"/>
      <c r="AI479"/>
      <c r="AJ479"/>
      <c r="AK479"/>
    </row>
    <row r="480" spans="1:37" ht="12.75">
      <c r="A480" s="124"/>
      <c r="B480" s="247" t="s">
        <v>2419</v>
      </c>
      <c r="C480" s="256" t="s">
        <v>2550</v>
      </c>
      <c r="D480" s="256" t="s">
        <v>812</v>
      </c>
      <c r="E480" s="248" t="s">
        <v>813</v>
      </c>
      <c r="G480" s="247" t="s">
        <v>2525</v>
      </c>
      <c r="H480" s="256" t="s">
        <v>2384</v>
      </c>
      <c r="I480" s="256" t="s">
        <v>1763</v>
      </c>
      <c r="J480" s="256" t="s">
        <v>790</v>
      </c>
      <c r="K480" s="256" t="s">
        <v>2431</v>
      </c>
      <c r="L480" s="256" t="s">
        <v>2388</v>
      </c>
      <c r="M480" s="256" t="s">
        <v>2389</v>
      </c>
      <c r="N480" s="248" t="s">
        <v>761</v>
      </c>
      <c r="P480" s="247"/>
      <c r="Q480" s="256" t="s">
        <v>2447</v>
      </c>
      <c r="R480" s="256" t="s">
        <v>825</v>
      </c>
      <c r="S480" s="256" t="s">
        <v>761</v>
      </c>
      <c r="T480" s="256" t="s">
        <v>2419</v>
      </c>
      <c r="U480" s="256" t="s">
        <v>790</v>
      </c>
      <c r="V480" s="256" t="s">
        <v>1165</v>
      </c>
      <c r="W480" s="248" t="s">
        <v>2388</v>
      </c>
      <c r="X480" s="247" t="s">
        <v>2390</v>
      </c>
      <c r="Y480" s="123" t="e">
        <f>DexStep</f>
        <v>#N/A</v>
      </c>
      <c r="AC480" s="137" t="s">
        <v>2394</v>
      </c>
      <c r="AD480" s="374" t="s">
        <v>2567</v>
      </c>
      <c r="AE480" s="375">
        <f t="shared" si="44"/>
      </c>
      <c r="AF480"/>
      <c r="AG480"/>
      <c r="AH480"/>
      <c r="AI480"/>
      <c r="AJ480"/>
      <c r="AK480"/>
    </row>
    <row r="481" spans="1:37" ht="12.75">
      <c r="A481" s="125" t="s">
        <v>2545</v>
      </c>
      <c r="B481" s="133">
        <f>F40+G40</f>
        <v>0</v>
      </c>
      <c r="C481" s="134">
        <f>IF(Circle1&lt;2,0,HLOOKUP(Dicipline1,Diciplines!D43:Y45,2,FALSE))</f>
        <v>0</v>
      </c>
      <c r="D481" s="134">
        <f>IF(Circle1&lt;2,0,HLOOKUP(Dicipline1,Diciplines!D43:Y45,3,FALSE))</f>
        <v>0</v>
      </c>
      <c r="E481" s="135" t="b">
        <f>OR(B481&gt;B482,C481&gt;=C482)</f>
        <v>1</v>
      </c>
      <c r="G481" s="137" t="s">
        <v>2390</v>
      </c>
      <c r="H481" s="122" t="e">
        <f aca="true" t="shared" si="45" ref="H481:H486">Q7</f>
        <v>#N/A</v>
      </c>
      <c r="I481" s="122">
        <f>SpecDex</f>
        <v>0</v>
      </c>
      <c r="J481" s="122">
        <f aca="true" t="shared" si="46" ref="J481:J486">W18</f>
        <v>0</v>
      </c>
      <c r="K481" s="122" t="e">
        <f aca="true" t="shared" si="47" ref="K481:K486">SUM(H481:J481)</f>
        <v>#N/A</v>
      </c>
      <c r="L481" s="122" t="e">
        <f aca="true" t="shared" si="48" ref="L481:L486">INT((K481+5)/3)</f>
        <v>#N/A</v>
      </c>
      <c r="M481" s="122" t="e">
        <f aca="true" ca="1" t="shared" si="49" ref="M481:M486">OFFSET(ActionDice,L481,0)</f>
        <v>#N/A</v>
      </c>
      <c r="N481" s="123" t="e">
        <f aca="true" t="shared" si="50" ref="N481:N486">H481+I481&amp;IF(J481&gt;0,"+"&amp;J481,"")</f>
        <v>#N/A</v>
      </c>
      <c r="P481" s="111" t="s">
        <v>2601</v>
      </c>
      <c r="Q481" s="122">
        <f>IF(P481=Dicipline1,Circle1,IF(P481=Dicipline2,Circle2,0))</f>
        <v>0</v>
      </c>
      <c r="R481" s="122" t="e">
        <f>MATCH("Thread Weaving ("&amp;P481&amp;")",D$499:D$588,0)</f>
        <v>#N/A</v>
      </c>
      <c r="S481" s="122" t="e">
        <f aca="true" ca="1" t="shared" si="51" ref="S481:S486">OFFSET(P$498,R481,0)</f>
        <v>#N/A</v>
      </c>
      <c r="T481" s="122">
        <f aca="true" ca="1" t="shared" si="52" ref="T481:T486">IF(ISERROR(R481),0,OFFSET(E$498,R481,0))</f>
        <v>0</v>
      </c>
      <c r="U481" s="122" t="e">
        <f ca="1">OFFSET(K$498,R481,0)</f>
        <v>#N/A</v>
      </c>
      <c r="V481" s="122" t="e">
        <f aca="true" t="shared" si="53" ref="V481:V486">T481&amp;IF(U481&gt;0,"+"&amp;U481,"")</f>
        <v>#N/A</v>
      </c>
      <c r="W481" s="123" t="e">
        <f>T481+U481+PerStep</f>
        <v>#N/A</v>
      </c>
      <c r="X481" s="247" t="s">
        <v>2391</v>
      </c>
      <c r="Y481" s="123" t="e">
        <f>StrStep</f>
        <v>#N/A</v>
      </c>
      <c r="AC481" s="137" t="s">
        <v>2395</v>
      </c>
      <c r="AD481" s="374" t="s">
        <v>2568</v>
      </c>
      <c r="AE481" s="375">
        <f t="shared" si="44"/>
      </c>
      <c r="AF481"/>
      <c r="AG481"/>
      <c r="AH481"/>
      <c r="AI481"/>
      <c r="AJ481"/>
      <c r="AK481"/>
    </row>
    <row r="482" spans="1:37" ht="12.75">
      <c r="A482" s="125" t="s">
        <v>2646</v>
      </c>
      <c r="B482" s="130">
        <f>W40+X40</f>
        <v>0</v>
      </c>
      <c r="C482" s="131">
        <f>IF(OR(Dicipline2="",Circle2&lt;2),0,HLOOKUP(Dicipline2,Diciplines!D43:Y45,2,FALSE))</f>
        <v>0</v>
      </c>
      <c r="D482" s="131">
        <f>IF(OR(Dicipline2="",Circle2&lt;2),0,HLOOKUP(Dicipline2,Diciplines!D43:Y45,3,FALSE))</f>
        <v>0</v>
      </c>
      <c r="E482" s="132" t="b">
        <f>OR(B482&gt;B481,C482&gt;C481)</f>
        <v>0</v>
      </c>
      <c r="G482" s="137" t="s">
        <v>2391</v>
      </c>
      <c r="H482" s="122" t="e">
        <f t="shared" si="45"/>
        <v>#N/A</v>
      </c>
      <c r="I482" s="122">
        <f>SpecStr</f>
        <v>0</v>
      </c>
      <c r="J482" s="122">
        <f t="shared" si="46"/>
        <v>0</v>
      </c>
      <c r="K482" s="122" t="e">
        <f t="shared" si="47"/>
        <v>#N/A</v>
      </c>
      <c r="L482" s="122" t="e">
        <f t="shared" si="48"/>
        <v>#N/A</v>
      </c>
      <c r="M482" s="122" t="e">
        <f ca="1" t="shared" si="49"/>
        <v>#N/A</v>
      </c>
      <c r="N482" s="123" t="e">
        <f t="shared" si="50"/>
        <v>#N/A</v>
      </c>
      <c r="P482" s="111" t="s">
        <v>2602</v>
      </c>
      <c r="Q482" s="122">
        <f>IF(P482=Dicipline1,Circle1,IF(P482=Dicipline2,Circle2,0))</f>
        <v>0</v>
      </c>
      <c r="R482" s="122" t="e">
        <f>MATCH("Thread Weaving ("&amp;P482&amp;")",D$499:D$588,0)</f>
        <v>#N/A</v>
      </c>
      <c r="S482" s="122" t="e">
        <f ca="1" t="shared" si="51"/>
        <v>#N/A</v>
      </c>
      <c r="T482" s="122">
        <f ca="1" t="shared" si="52"/>
        <v>0</v>
      </c>
      <c r="U482" s="122" t="e">
        <f ca="1">OFFSET(K$498,R482,0)</f>
        <v>#N/A</v>
      </c>
      <c r="V482" s="122" t="e">
        <f t="shared" si="53"/>
        <v>#N/A</v>
      </c>
      <c r="W482" s="123" t="e">
        <f>T482+U482+PerStep</f>
        <v>#N/A</v>
      </c>
      <c r="X482" s="247" t="s">
        <v>2392</v>
      </c>
      <c r="Y482" s="123" t="e">
        <f>TouStep</f>
        <v>#N/A</v>
      </c>
      <c r="AC482" s="137" t="s">
        <v>1464</v>
      </c>
      <c r="AD482" s="374" t="s">
        <v>2553</v>
      </c>
      <c r="AE482" s="375">
        <f t="shared" si="44"/>
      </c>
      <c r="AF482"/>
      <c r="AG482"/>
      <c r="AH482"/>
      <c r="AI482"/>
      <c r="AJ482"/>
      <c r="AK482"/>
    </row>
    <row r="483" spans="1:37" ht="12.75">
      <c r="A483" s="125" t="s">
        <v>763</v>
      </c>
      <c r="B483" s="133">
        <f>MIN(B481:B482)</f>
        <v>0</v>
      </c>
      <c r="C483" s="134">
        <f>VLOOKUP(B483,B481:D482,2,FALSE)</f>
        <v>0</v>
      </c>
      <c r="D483" s="134">
        <f>VLOOKUP(B483,B481:D482,3,FALSE)</f>
        <v>0</v>
      </c>
      <c r="E483" s="136"/>
      <c r="G483" s="137" t="s">
        <v>2392</v>
      </c>
      <c r="H483" s="122" t="e">
        <f t="shared" si="45"/>
        <v>#N/A</v>
      </c>
      <c r="I483" s="122">
        <f>SpecTou</f>
        <v>0</v>
      </c>
      <c r="J483" s="122">
        <f t="shared" si="46"/>
        <v>0</v>
      </c>
      <c r="K483" s="122" t="e">
        <f t="shared" si="47"/>
        <v>#N/A</v>
      </c>
      <c r="L483" s="122" t="e">
        <f t="shared" si="48"/>
        <v>#N/A</v>
      </c>
      <c r="M483" s="122" t="e">
        <f ca="1" t="shared" si="49"/>
        <v>#N/A</v>
      </c>
      <c r="N483" s="123" t="e">
        <f t="shared" si="50"/>
        <v>#N/A</v>
      </c>
      <c r="P483" s="111" t="s">
        <v>2603</v>
      </c>
      <c r="Q483" s="122">
        <f>IF(P483=Dicipline1,Circle1,IF(P483=Dicipline2,Circle2,0))</f>
        <v>0</v>
      </c>
      <c r="R483" s="122" t="e">
        <f>MATCH("Thread Weaving ("&amp;P483&amp;")",D$499:D$588,0)</f>
        <v>#N/A</v>
      </c>
      <c r="S483" s="122" t="e">
        <f ca="1" t="shared" si="51"/>
        <v>#N/A</v>
      </c>
      <c r="T483" s="122">
        <f ca="1" t="shared" si="52"/>
        <v>0</v>
      </c>
      <c r="U483" s="122" t="e">
        <f ca="1">OFFSET(K$498,R483,0)</f>
        <v>#N/A</v>
      </c>
      <c r="V483" s="122" t="e">
        <f t="shared" si="53"/>
        <v>#N/A</v>
      </c>
      <c r="W483" s="123" t="e">
        <f>T483+U483+PerStep</f>
        <v>#N/A</v>
      </c>
      <c r="X483" s="247" t="s">
        <v>2393</v>
      </c>
      <c r="Y483" s="123" t="e">
        <f>PerStep</f>
        <v>#N/A</v>
      </c>
      <c r="AC483" s="137" t="s">
        <v>1465</v>
      </c>
      <c r="AD483" s="374" t="s">
        <v>2692</v>
      </c>
      <c r="AE483" s="375">
        <f t="shared" si="44"/>
      </c>
      <c r="AF483"/>
      <c r="AG483"/>
      <c r="AH483"/>
      <c r="AI483"/>
      <c r="AJ483"/>
      <c r="AK483"/>
    </row>
    <row r="484" spans="1:37" ht="12.75">
      <c r="A484" s="125" t="s">
        <v>762</v>
      </c>
      <c r="B484" s="130">
        <f>B481+B482-B483</f>
        <v>0</v>
      </c>
      <c r="C484" s="131">
        <f>C481+C482-C483</f>
        <v>0</v>
      </c>
      <c r="D484" s="131">
        <f>D481+D482-D483</f>
        <v>0</v>
      </c>
      <c r="E484" s="115"/>
      <c r="G484" s="137" t="s">
        <v>2393</v>
      </c>
      <c r="H484" s="122" t="e">
        <f t="shared" si="45"/>
        <v>#N/A</v>
      </c>
      <c r="I484" s="122">
        <f>SpecPer</f>
        <v>0</v>
      </c>
      <c r="J484" s="122">
        <f t="shared" si="46"/>
        <v>0</v>
      </c>
      <c r="K484" s="122" t="e">
        <f t="shared" si="47"/>
        <v>#N/A</v>
      </c>
      <c r="L484" s="122" t="e">
        <f t="shared" si="48"/>
        <v>#N/A</v>
      </c>
      <c r="M484" s="122" t="e">
        <f ca="1" t="shared" si="49"/>
        <v>#N/A</v>
      </c>
      <c r="N484" s="123" t="e">
        <f t="shared" si="50"/>
        <v>#N/A</v>
      </c>
      <c r="P484" s="111" t="s">
        <v>2608</v>
      </c>
      <c r="Q484" s="122">
        <f>IF(P484=Dicipline1,Circle1,IF(P484=Dicipline2,Circle2,0))</f>
        <v>0</v>
      </c>
      <c r="R484" s="122" t="e">
        <f>MATCH("Thread Weaving ("&amp;P484&amp;")",D$499:D$588,0)</f>
        <v>#N/A</v>
      </c>
      <c r="S484" s="122" t="e">
        <f ca="1" t="shared" si="51"/>
        <v>#N/A</v>
      </c>
      <c r="T484" s="122">
        <f ca="1" t="shared" si="52"/>
        <v>0</v>
      </c>
      <c r="U484" s="122" t="e">
        <f ca="1">OFFSET(K$498,R484,0)</f>
        <v>#N/A</v>
      </c>
      <c r="V484" s="122" t="e">
        <f t="shared" si="53"/>
        <v>#N/A</v>
      </c>
      <c r="W484" s="123" t="e">
        <f>T484+U484+PerStep</f>
        <v>#N/A</v>
      </c>
      <c r="X484" s="247" t="s">
        <v>1743</v>
      </c>
      <c r="Y484" s="123" t="e">
        <f>WilStep</f>
        <v>#N/A</v>
      </c>
      <c r="AC484" s="137" t="s">
        <v>1466</v>
      </c>
      <c r="AD484" s="374" t="s">
        <v>1628</v>
      </c>
      <c r="AE484" s="375">
        <f t="shared" si="44"/>
      </c>
      <c r="AF484"/>
      <c r="AG484"/>
      <c r="AH484"/>
      <c r="AI484"/>
      <c r="AJ484"/>
      <c r="AK484"/>
    </row>
    <row r="485" spans="1:37" ht="12.75">
      <c r="A485" s="124"/>
      <c r="B485" s="111"/>
      <c r="C485" s="122">
        <f>IF(E481,IF(E482,B483*C483+(B484-B483)*C484,B481*C481),B482*C482)</f>
        <v>0</v>
      </c>
      <c r="D485" s="122">
        <f>IF(E482,IF(E482,B483*D483+(B484-B483)*D484,B482*D482),B481*D481)</f>
        <v>0</v>
      </c>
      <c r="E485" s="113"/>
      <c r="G485" s="137" t="s">
        <v>2394</v>
      </c>
      <c r="H485" s="122" t="e">
        <f t="shared" si="45"/>
        <v>#N/A</v>
      </c>
      <c r="I485" s="122">
        <f>SpecWil</f>
        <v>0</v>
      </c>
      <c r="J485" s="122">
        <f t="shared" si="46"/>
        <v>0</v>
      </c>
      <c r="K485" s="122" t="e">
        <f t="shared" si="47"/>
        <v>#N/A</v>
      </c>
      <c r="L485" s="122" t="e">
        <f t="shared" si="48"/>
        <v>#N/A</v>
      </c>
      <c r="M485" s="122" t="e">
        <f ca="1" t="shared" si="49"/>
        <v>#N/A</v>
      </c>
      <c r="N485" s="123" t="e">
        <f t="shared" si="50"/>
        <v>#N/A</v>
      </c>
      <c r="P485" s="183" t="s">
        <v>2627</v>
      </c>
      <c r="Q485" s="122"/>
      <c r="R485" s="122" t="e">
        <f>MATCH(P485,D$499:D$588,0)</f>
        <v>#N/A</v>
      </c>
      <c r="S485" s="122" t="e">
        <f ca="1" t="shared" si="51"/>
        <v>#N/A</v>
      </c>
      <c r="T485" s="122">
        <f ca="1" t="shared" si="52"/>
        <v>0</v>
      </c>
      <c r="U485" s="122" t="e">
        <f ca="1">VALUE("0"&amp;OFFSET(K$498,R485,0))</f>
        <v>#N/A</v>
      </c>
      <c r="V485" s="122" t="e">
        <f t="shared" si="53"/>
        <v>#N/A</v>
      </c>
      <c r="W485" s="123" t="e">
        <f>T485+U485+PerStep</f>
        <v>#N/A</v>
      </c>
      <c r="X485" s="247" t="s">
        <v>2395</v>
      </c>
      <c r="Y485" s="123" t="e">
        <f>ChaStep</f>
        <v>#N/A</v>
      </c>
      <c r="AC485" s="137" t="s">
        <v>1471</v>
      </c>
      <c r="AD485" s="374" t="s">
        <v>1694</v>
      </c>
      <c r="AE485" s="375">
        <f t="shared" si="44"/>
      </c>
      <c r="AF485"/>
      <c r="AG485"/>
      <c r="AH485"/>
      <c r="AI485"/>
      <c r="AJ485"/>
      <c r="AK485"/>
    </row>
    <row r="486" spans="7:37" ht="12.75">
      <c r="G486" s="137" t="s">
        <v>2395</v>
      </c>
      <c r="H486" s="122" t="e">
        <f t="shared" si="45"/>
        <v>#N/A</v>
      </c>
      <c r="I486" s="122">
        <f>SpecCha</f>
        <v>0</v>
      </c>
      <c r="J486" s="122">
        <f t="shared" si="46"/>
        <v>0</v>
      </c>
      <c r="K486" s="122" t="e">
        <f t="shared" si="47"/>
        <v>#N/A</v>
      </c>
      <c r="L486" s="122" t="e">
        <f t="shared" si="48"/>
        <v>#N/A</v>
      </c>
      <c r="M486" s="122" t="e">
        <f ca="1" t="shared" si="49"/>
        <v>#N/A</v>
      </c>
      <c r="N486" s="123" t="e">
        <f t="shared" si="50"/>
        <v>#N/A</v>
      </c>
      <c r="P486" s="183" t="s">
        <v>2692</v>
      </c>
      <c r="Q486" s="122"/>
      <c r="R486" s="122" t="e">
        <f>MATCH(P486,D$499:D$588,0)</f>
        <v>#N/A</v>
      </c>
      <c r="S486" s="122" t="e">
        <f ca="1" t="shared" si="51"/>
        <v>#N/A</v>
      </c>
      <c r="T486" s="122">
        <f ca="1" t="shared" si="52"/>
        <v>0</v>
      </c>
      <c r="U486" s="122" t="e">
        <f ca="1">VALUE("0"&amp;OFFSET(K$498,R486,0))</f>
        <v>#N/A</v>
      </c>
      <c r="V486" s="122" t="e">
        <f t="shared" si="53"/>
        <v>#N/A</v>
      </c>
      <c r="W486" s="123" t="e">
        <f>T486+(IF(ISERROR(U486),0,U486))+WilStep</f>
        <v>#N/A</v>
      </c>
      <c r="X486" s="247" t="s">
        <v>2394</v>
      </c>
      <c r="Y486" s="123" t="e">
        <f>W486</f>
        <v>#N/A</v>
      </c>
      <c r="AC486" s="137" t="s">
        <v>1493</v>
      </c>
      <c r="AD486" s="374" t="s">
        <v>1469</v>
      </c>
      <c r="AE486" s="375">
        <f t="shared" si="44"/>
      </c>
      <c r="AF486"/>
      <c r="AG486"/>
      <c r="AH486"/>
      <c r="AI486"/>
      <c r="AJ486"/>
      <c r="AK486"/>
    </row>
    <row r="487" spans="7:37" ht="12.75">
      <c r="G487"/>
      <c r="H487"/>
      <c r="I487"/>
      <c r="J487"/>
      <c r="K487"/>
      <c r="L487"/>
      <c r="M487"/>
      <c r="N487"/>
      <c r="P487" s="164"/>
      <c r="Q487" s="164"/>
      <c r="R487" s="164"/>
      <c r="S487" s="164"/>
      <c r="T487" s="164"/>
      <c r="U487" s="164"/>
      <c r="V487" s="164"/>
      <c r="AC487" s="137" t="s">
        <v>1648</v>
      </c>
      <c r="AD487" s="374" t="s">
        <v>1649</v>
      </c>
      <c r="AE487" s="375">
        <f t="shared" si="44"/>
      </c>
      <c r="AF487"/>
      <c r="AG487"/>
      <c r="AH487"/>
      <c r="AI487"/>
      <c r="AJ487"/>
      <c r="AK487"/>
    </row>
    <row r="488" spans="2:37" ht="12.75">
      <c r="B488" s="192" t="s">
        <v>784</v>
      </c>
      <c r="C488" s="120"/>
      <c r="D488" s="256" t="s">
        <v>779</v>
      </c>
      <c r="E488" s="256" t="s">
        <v>780</v>
      </c>
      <c r="F488" s="256" t="s">
        <v>781</v>
      </c>
      <c r="G488" s="256" t="s">
        <v>782</v>
      </c>
      <c r="H488" s="256" t="s">
        <v>783</v>
      </c>
      <c r="I488" s="256" t="s">
        <v>1814</v>
      </c>
      <c r="J488" s="256" t="s">
        <v>2552</v>
      </c>
      <c r="K488" s="256" t="s">
        <v>1815</v>
      </c>
      <c r="L488" s="256" t="s">
        <v>1816</v>
      </c>
      <c r="M488" s="256" t="s">
        <v>1794</v>
      </c>
      <c r="N488" s="248" t="s">
        <v>1692</v>
      </c>
      <c r="Q488" s="376" t="s">
        <v>1750</v>
      </c>
      <c r="R488" s="351" t="str">
        <f ca="1">OFFSET(Numberth,Circle1,0)&amp;" Circle "&amp;Dicipline1</f>
        <v>Zeroth Circle </v>
      </c>
      <c r="AC488" s="137" t="s">
        <v>1492</v>
      </c>
      <c r="AD488" s="374" t="s">
        <v>1468</v>
      </c>
      <c r="AE488" s="375">
        <f t="shared" si="44"/>
      </c>
      <c r="AF488"/>
      <c r="AG488"/>
      <c r="AH488"/>
      <c r="AI488"/>
      <c r="AJ488"/>
      <c r="AK488"/>
    </row>
    <row r="489" spans="1:37" ht="12.75">
      <c r="A489" s="116"/>
      <c r="B489" s="111" t="s">
        <v>2384</v>
      </c>
      <c r="C489" s="122"/>
      <c r="D489" s="122" t="e">
        <f ca="1">OFFSET(AttribDef,Dexterity,0)</f>
        <v>#N/A</v>
      </c>
      <c r="E489" s="122" t="e">
        <f ca="1">OFFSET(AttribDef,Perception,0)</f>
        <v>#N/A</v>
      </c>
      <c r="F489" s="122" t="e">
        <f ca="1">OFFSET(AttribDef,Charisma,0)</f>
        <v>#N/A</v>
      </c>
      <c r="G489" s="122" t="e">
        <f>DexStep</f>
        <v>#N/A</v>
      </c>
      <c r="H489" s="122" t="e">
        <f ca="1">OFFSET(AttribRecTests,Toughness,0)</f>
        <v>#N/A</v>
      </c>
      <c r="I489" s="122" t="e">
        <f>TouStep</f>
        <v>#N/A</v>
      </c>
      <c r="J489" s="122" t="e">
        <f ca="1">OFFSET(AttribWoundThr,Toughness,0)</f>
        <v>#N/A</v>
      </c>
      <c r="K489" s="122">
        <f ca="1">IF(T499,OFFSET(F154,T499,0),0)+IF(T500,OFFSET(F154,T500,0),0)+IF(T501,OFFSET(F154,T501,0),0)+IF(T502,OFFSET(F154,T502,0),0)+IF(T503,OFFSET(F154,T503,0),0)</f>
        <v>0</v>
      </c>
      <c r="L489" s="122">
        <f ca="1">IF(T499,OFFSET(G154,T499,0),0)+IF(T500,OFFSET(G154,T500,0),0)+IF(T501,OFFSET(G154,T501,0),0)+IF(T502,OFFSET(G154,T502,0),0)+IF(T503,OFFSET(G154,T503,0),0)</f>
        <v>0</v>
      </c>
      <c r="M489" s="122" t="e">
        <f>Dexterity</f>
        <v>#N/A</v>
      </c>
      <c r="N489" s="123"/>
      <c r="P489" s="192" t="s">
        <v>1427</v>
      </c>
      <c r="Q489" s="120"/>
      <c r="R489" s="123">
        <f ca="1">OFFSET(Cost_1_4,E33,0)+OFFSET(Cost_1_4,E34,0)+OFFSET(Cost_1_4,E35,0)+OFFSET(Cost_1_4,E36,0)+OFFSET(Cost_1_4,E37,0)+OFFSET(Cost_1_4,E38,0)+IF(B39&lt;&gt;" ",OFFSET(Cost_1_4,E39,0),0)</f>
        <v>0</v>
      </c>
      <c r="AC489" s="137" t="s">
        <v>1467</v>
      </c>
      <c r="AD489" s="374" t="s">
        <v>1470</v>
      </c>
      <c r="AE489" s="375">
        <f t="shared" si="44"/>
      </c>
      <c r="AF489"/>
      <c r="AG489"/>
      <c r="AH489"/>
      <c r="AI489"/>
      <c r="AJ489"/>
      <c r="AK489"/>
    </row>
    <row r="490" spans="1:37" ht="12.75">
      <c r="A490" s="214"/>
      <c r="B490" s="111" t="s">
        <v>2585</v>
      </c>
      <c r="C490" s="122"/>
      <c r="D490" s="122">
        <f>IF(Race=Windling,2,0)</f>
        <v>0</v>
      </c>
      <c r="E490" s="122"/>
      <c r="F490" s="122"/>
      <c r="G490" s="122"/>
      <c r="H490" s="122"/>
      <c r="I490" s="122"/>
      <c r="J490" s="122">
        <f>IF(Race=Obsidiman,3,0)</f>
        <v>0</v>
      </c>
      <c r="K490" s="122">
        <f>IF(Race=Obsidiman,3,0)</f>
        <v>0</v>
      </c>
      <c r="L490" s="122"/>
      <c r="M490" s="122" t="e">
        <f>RaceMove</f>
        <v>#N/A</v>
      </c>
      <c r="N490" s="123" t="e">
        <f>RaceKarmaMax</f>
        <v>#N/A</v>
      </c>
      <c r="Q490" s="382" t="s">
        <v>2385</v>
      </c>
      <c r="R490" s="123">
        <f>IF(Dicipline2="","",IF(V11&gt;5,100,(6-V11)*200))</f>
      </c>
      <c r="AC490" s="137" t="s">
        <v>1961</v>
      </c>
      <c r="AD490" s="374" t="s">
        <v>1962</v>
      </c>
      <c r="AE490" s="375">
        <f t="shared" si="44"/>
      </c>
      <c r="AF490"/>
      <c r="AG490"/>
      <c r="AH490"/>
      <c r="AI490"/>
      <c r="AJ490"/>
      <c r="AK490"/>
    </row>
    <row r="491" spans="2:37" ht="12.75">
      <c r="B491" s="111" t="s">
        <v>1760</v>
      </c>
      <c r="C491" s="122"/>
      <c r="D491" s="122">
        <f>SpecPD</f>
        <v>0</v>
      </c>
      <c r="E491" s="122">
        <f>SpecSD</f>
        <v>0</v>
      </c>
      <c r="F491" s="122">
        <f>SpecSOD</f>
        <v>0</v>
      </c>
      <c r="G491" s="122">
        <f>SpecInit</f>
        <v>0</v>
      </c>
      <c r="H491" s="122">
        <f>SpecRecTests</f>
        <v>0</v>
      </c>
      <c r="I491" s="122">
        <f>SpecRecStep</f>
        <v>0</v>
      </c>
      <c r="J491" s="122">
        <f>SpecWoundThr</f>
        <v>0</v>
      </c>
      <c r="K491" s="122">
        <f>SpecPhysArm</f>
        <v>0</v>
      </c>
      <c r="L491" s="122">
        <f>SpecMysArm</f>
        <v>0</v>
      </c>
      <c r="M491" s="122">
        <f>SpecMove</f>
        <v>0</v>
      </c>
      <c r="N491" s="123">
        <f>SpecMaxKarma</f>
        <v>0</v>
      </c>
      <c r="Q491" s="376" t="s">
        <v>1274</v>
      </c>
      <c r="R491" s="351" t="str">
        <f ca="1">IF(Dic2,OFFSET(Numberth,MAX(1,Circle2),0)&amp;" Circle "&amp;Dicipline2," ")</f>
        <v> </v>
      </c>
      <c r="AC491" s="137" t="s">
        <v>1996</v>
      </c>
      <c r="AD491" s="374" t="s">
        <v>1997</v>
      </c>
      <c r="AE491" s="375">
        <f t="shared" si="44"/>
      </c>
      <c r="AF491"/>
      <c r="AG491"/>
      <c r="AH491"/>
      <c r="AI491"/>
      <c r="AJ491"/>
      <c r="AK491"/>
    </row>
    <row r="492" spans="2:37" ht="12.75">
      <c r="B492" s="111" t="s">
        <v>1821</v>
      </c>
      <c r="C492" s="122"/>
      <c r="D492" s="122">
        <f>RankPD</f>
        <v>0</v>
      </c>
      <c r="E492" s="122">
        <f>RankSD</f>
        <v>0</v>
      </c>
      <c r="F492" s="122">
        <f>RankSOD</f>
        <v>0</v>
      </c>
      <c r="G492" s="122">
        <f>RankINIT</f>
        <v>0</v>
      </c>
      <c r="H492" s="122"/>
      <c r="I492" s="122">
        <f>RankRecStep</f>
        <v>0</v>
      </c>
      <c r="J492" s="122">
        <f>RankWoundThr</f>
        <v>0</v>
      </c>
      <c r="K492" s="122"/>
      <c r="L492" s="122">
        <f>RankMysArm</f>
        <v>0</v>
      </c>
      <c r="M492" s="122"/>
      <c r="N492" s="123"/>
      <c r="AC492" s="169" t="s">
        <v>2012</v>
      </c>
      <c r="AD492" s="321" t="s">
        <v>2013</v>
      </c>
      <c r="AE492" s="375">
        <f t="shared" si="44"/>
      </c>
      <c r="AF492"/>
      <c r="AG492"/>
      <c r="AH492"/>
      <c r="AI492"/>
      <c r="AJ492"/>
      <c r="AK492"/>
    </row>
    <row r="493" spans="2:37" ht="12.75">
      <c r="B493" s="111">
        <f>Dicipline1</f>
        <v>0</v>
      </c>
      <c r="C493" s="122" t="e">
        <f>HLOOKUP(Dicipline1,Diciplines!D49:Y64,Circle1+1,0)</f>
        <v>#N/A</v>
      </c>
      <c r="D493" s="122" t="e">
        <f>VALUE(LEFT(C493,1))</f>
        <v>#N/A</v>
      </c>
      <c r="E493" s="122" t="e">
        <f>VALUE(MID(C493,2,1))</f>
        <v>#N/A</v>
      </c>
      <c r="F493" s="122" t="e">
        <f>VALUE(MID(C493,3,1))</f>
        <v>#N/A</v>
      </c>
      <c r="G493" s="122" t="e">
        <f>VALUE(MID(C493,4,1))</f>
        <v>#N/A</v>
      </c>
      <c r="H493" s="122" t="e">
        <f>VALUE(MID(C493,5,1))</f>
        <v>#N/A</v>
      </c>
      <c r="I493" s="122"/>
      <c r="J493" s="122"/>
      <c r="K493" s="122"/>
      <c r="L493" s="122"/>
      <c r="M493" s="122"/>
      <c r="N493" s="123" t="e">
        <f>IF(Circle1&gt;=HLOOKUP(Dicipline1,Improvements,17),25,0)</f>
        <v>#N/A</v>
      </c>
      <c r="AC493" s="376" t="s">
        <v>1761</v>
      </c>
      <c r="AD493" s="374" t="e">
        <f>IF(Circle1&gt;=HLOOKUP(Dicipline1,Improvements,18),HLOOKUP(Dicipline1,Improvements,19)&amp;IF(Circle1&gt;=HLOOKUP(Dicipline1,Improvements,20),", "&amp;HLOOKUP(Dicipline1,Improvements,21)&amp;IF(Circle1&gt;=HLOOKUP(Dicipline1,Improvements,22),", "&amp;HLOOKUP(Dicipline1,Improvements,23)&amp;IF(Circle1&gt;=HLOOKUP(Dicipline1,Improvements,24),", "&amp;HLOOKUP(Dicipline1,Improvements,25),""),""),""),"")</f>
        <v>#N/A</v>
      </c>
      <c r="AE493" s="375"/>
      <c r="AF493"/>
      <c r="AG493"/>
      <c r="AH493"/>
      <c r="AI493"/>
      <c r="AJ493"/>
      <c r="AK493"/>
    </row>
    <row r="494" spans="2:37" ht="12.75">
      <c r="B494" s="111">
        <f>Dicipline2</f>
        <v>0</v>
      </c>
      <c r="C494" s="122" t="str">
        <f>IF(Dic2,HLOOKUP(Dicipline2,Diciplines!D49:Y64,Circle2+1,0),"00000")</f>
        <v>00000</v>
      </c>
      <c r="D494" s="122">
        <f>VALUE(LEFT(C494,1))</f>
        <v>0</v>
      </c>
      <c r="E494" s="122">
        <f>VALUE(MID(C494,2,1))</f>
        <v>0</v>
      </c>
      <c r="F494" s="122">
        <f>VALUE(MID(C494,3,1))</f>
        <v>0</v>
      </c>
      <c r="G494" s="122">
        <f>VALUE(MID(C494,4,1))</f>
        <v>0</v>
      </c>
      <c r="H494" s="122">
        <f>VALUE(MID(C494,5,1))</f>
        <v>0</v>
      </c>
      <c r="I494" s="122"/>
      <c r="J494" s="122"/>
      <c r="K494" s="122"/>
      <c r="L494" s="122"/>
      <c r="M494" s="122"/>
      <c r="N494" s="123">
        <f>IF(Dic2,IF(Circle2&gt;=HLOOKUP(Dicipline2,Improvements,17),25,0),0)</f>
        <v>0</v>
      </c>
      <c r="AC494" s="376" t="s">
        <v>1762</v>
      </c>
      <c r="AD494" s="374">
        <f>IF(Dic2,IF(Circle2&gt;=HLOOKUP(Dicipline2,Improvements,18),IF(AD493&lt;&gt;"",", ","")&amp;HLOOKUP(Dicipline2,Improvements,19)&amp;IF(Circle2&gt;=HLOOKUP(Dicipline2,Improvements,20),", "&amp;HLOOKUP(Dicipline2,Improvements,21)&amp;IF(Circle2&gt;=HLOOKUP(Dicipline2,Improvements,22),", "&amp;HLOOKUP(Dicipline2,Improvements,23)&amp;IF(Circle2&gt;=HLOOKUP(Dicipline2,Improvements,24),", "&amp;HLOOKUP(Dicipline2,Improvements,25),""),""),""),""),"")</f>
      </c>
      <c r="AE494" s="375"/>
      <c r="AF494"/>
      <c r="AG494"/>
      <c r="AH494"/>
      <c r="AI494"/>
      <c r="AJ494"/>
      <c r="AK494"/>
    </row>
    <row r="495" spans="2:37" ht="12.75">
      <c r="B495" s="111" t="s">
        <v>814</v>
      </c>
      <c r="C495" s="112"/>
      <c r="D495" s="122" t="e">
        <f>SUM(D489:D492)+MAX(D493:D494)</f>
        <v>#N/A</v>
      </c>
      <c r="E495" s="122" t="e">
        <f>SUM(E489:E492)+MAX(E493:E494)</f>
        <v>#N/A</v>
      </c>
      <c r="F495" s="122" t="e">
        <f>SUM(F489:F492)+MAX(F493:F494)</f>
        <v>#N/A</v>
      </c>
      <c r="G495" s="122" t="e">
        <f>SUM(G489:G492)+MAX(G493:G494)</f>
        <v>#N/A</v>
      </c>
      <c r="H495" s="122" t="e">
        <f>SUM(H489:H492)+MAX(H493:H494)</f>
        <v>#N/A</v>
      </c>
      <c r="I495" s="122" t="e">
        <f>SUM(I489:I492)</f>
        <v>#N/A</v>
      </c>
      <c r="J495" s="122" t="e">
        <f>SUM(J489:J492)</f>
        <v>#N/A</v>
      </c>
      <c r="K495" s="122">
        <f>SUM(K489:K492)</f>
        <v>0</v>
      </c>
      <c r="L495" s="122">
        <f>SUM(L489:L492)</f>
        <v>0</v>
      </c>
      <c r="M495" s="122" t="e">
        <f>SUM(M489:M492)</f>
        <v>#N/A</v>
      </c>
      <c r="N495" s="123" t="e">
        <f>SUM(N489:N494)</f>
        <v>#N/A</v>
      </c>
      <c r="AC495" s="376" t="s">
        <v>162</v>
      </c>
      <c r="AD495" s="374" t="e">
        <f>IF(AD493&amp;AD494="","",". ")&amp;IF(AE489="","","Use Karma on "&amp;MID(AE489,2,200)&amp;".")</f>
        <v>#N/A</v>
      </c>
      <c r="AE495" s="375"/>
      <c r="AF495"/>
      <c r="AG495"/>
      <c r="AH495"/>
      <c r="AI495"/>
      <c r="AJ495"/>
      <c r="AK495"/>
    </row>
    <row r="496" spans="2:15" ht="12.75">
      <c r="B496" s="214"/>
      <c r="C496" s="106"/>
      <c r="H496" s="106"/>
      <c r="I496" s="106"/>
      <c r="J496" s="106"/>
      <c r="K496" s="106"/>
      <c r="L496" s="106"/>
      <c r="M496" s="106"/>
      <c r="N496" s="106"/>
      <c r="O496" s="106"/>
    </row>
    <row r="497" spans="17:78" ht="12.75">
      <c r="Q497" s="267" t="s">
        <v>769</v>
      </c>
      <c r="R497" s="268">
        <f>MAX(Q499:Q588)</f>
        <v>0</v>
      </c>
      <c r="S497" s="267" t="s">
        <v>770</v>
      </c>
      <c r="T497" s="268">
        <f>MAX(S499:S522)</f>
        <v>0</v>
      </c>
      <c r="U497" s="267" t="s">
        <v>771</v>
      </c>
      <c r="V497" s="268">
        <f>MAX(U499:U543)</f>
        <v>0</v>
      </c>
      <c r="W497" s="269">
        <f>MAX(W499:W588)</f>
        <v>0</v>
      </c>
      <c r="X497" s="219">
        <f>MAX(X499:X588)</f>
        <v>0</v>
      </c>
      <c r="Y497" s="219">
        <f>MAX(Y499:Y588)</f>
        <v>0</v>
      </c>
      <c r="Z497" s="392">
        <f>MAX(Z499:Z588)</f>
        <v>0</v>
      </c>
      <c r="AA497" s="270" t="s">
        <v>1190</v>
      </c>
      <c r="AB497" s="271"/>
      <c r="AC497" s="271"/>
      <c r="AD497" s="271"/>
      <c r="AE497" s="270" t="s">
        <v>1748</v>
      </c>
      <c r="AF497" s="271"/>
      <c r="AG497" s="271"/>
      <c r="AH497" s="271"/>
      <c r="AI497" s="267"/>
      <c r="AJ497" s="140"/>
      <c r="AK497" s="219">
        <f>SUM(AK499:AK613)</f>
        <v>0</v>
      </c>
      <c r="AL497" s="273" t="s">
        <v>1426</v>
      </c>
      <c r="AM497" s="268">
        <f>MAX(AL499:AL613)</f>
        <v>0</v>
      </c>
      <c r="AN497" s="210"/>
      <c r="AO497" s="140"/>
      <c r="AP497" s="140">
        <f>SUM(AP499:AP637)</f>
        <v>0</v>
      </c>
      <c r="AQ497" s="140"/>
      <c r="AR497" s="273" t="s">
        <v>776</v>
      </c>
      <c r="AS497" s="272">
        <f>MAX(AR499:AR637)</f>
        <v>0</v>
      </c>
      <c r="AT497" s="210"/>
      <c r="AU497" s="140"/>
      <c r="AV497" s="140"/>
      <c r="AW497" s="219"/>
      <c r="AX497" s="140"/>
      <c r="AY497" s="140"/>
      <c r="AZ497" s="140"/>
      <c r="BA497" s="273" t="s">
        <v>1734</v>
      </c>
      <c r="BB497" s="272">
        <f>MAX(BA499:BA529)</f>
        <v>0</v>
      </c>
      <c r="BC497" s="273" t="s">
        <v>777</v>
      </c>
      <c r="BD497" s="272">
        <f>MAX(BC499:BC514)</f>
        <v>0</v>
      </c>
      <c r="BE497" s="392">
        <f>SUM(BE499:BE514)</f>
        <v>0</v>
      </c>
      <c r="BF497" s="140"/>
      <c r="BG497" s="140"/>
      <c r="BH497" s="273"/>
      <c r="BI497" s="268"/>
      <c r="BJ497" s="210"/>
      <c r="BK497" s="140"/>
      <c r="BL497" s="140"/>
      <c r="BM497" s="273" t="s">
        <v>1739</v>
      </c>
      <c r="BN497" s="219">
        <f>MAX(BM499:BM511)</f>
        <v>0</v>
      </c>
      <c r="BO497" s="140"/>
      <c r="BP497" s="383"/>
      <c r="BQ497" s="210"/>
      <c r="BR497" s="140"/>
      <c r="BS497" s="140"/>
      <c r="BT497" s="140"/>
      <c r="BU497" s="140"/>
      <c r="BV497" s="140"/>
      <c r="BW497" s="140"/>
      <c r="BX497" s="140"/>
      <c r="BY497" s="140" t="s">
        <v>570</v>
      </c>
      <c r="BZ497" s="392">
        <f>BY680</f>
        <v>0</v>
      </c>
    </row>
    <row r="498" spans="2:78" ht="12.75">
      <c r="B498" s="247" t="s">
        <v>2447</v>
      </c>
      <c r="C498" s="256" t="s">
        <v>2476</v>
      </c>
      <c r="D498" s="256" t="s">
        <v>761</v>
      </c>
      <c r="E498" s="256" t="s">
        <v>2419</v>
      </c>
      <c r="F498" s="256" t="s">
        <v>2385</v>
      </c>
      <c r="G498" s="256" t="s">
        <v>825</v>
      </c>
      <c r="H498" s="256" t="s">
        <v>2525</v>
      </c>
      <c r="I498" s="256" t="s">
        <v>767</v>
      </c>
      <c r="J498" s="256" t="s">
        <v>2525</v>
      </c>
      <c r="K498" s="256" t="s">
        <v>790</v>
      </c>
      <c r="L498" s="256" t="s">
        <v>2388</v>
      </c>
      <c r="M498" s="256" t="s">
        <v>2389</v>
      </c>
      <c r="N498" s="256" t="s">
        <v>824</v>
      </c>
      <c r="O498" s="256" t="s">
        <v>768</v>
      </c>
      <c r="P498" s="256" t="s">
        <v>761</v>
      </c>
      <c r="Q498" s="276" t="s">
        <v>772</v>
      </c>
      <c r="R498" s="277" t="s">
        <v>761</v>
      </c>
      <c r="S498" s="276" t="s">
        <v>772</v>
      </c>
      <c r="T498" s="277" t="s">
        <v>761</v>
      </c>
      <c r="U498" s="276" t="s">
        <v>772</v>
      </c>
      <c r="V498" s="277" t="s">
        <v>761</v>
      </c>
      <c r="W498" s="274" t="s">
        <v>854</v>
      </c>
      <c r="X498" s="278" t="s">
        <v>851</v>
      </c>
      <c r="Y498" s="278" t="s">
        <v>852</v>
      </c>
      <c r="Z498" s="278" t="s">
        <v>853</v>
      </c>
      <c r="AA498" s="276" t="s">
        <v>854</v>
      </c>
      <c r="AB498" s="266" t="s">
        <v>851</v>
      </c>
      <c r="AC498" s="266" t="s">
        <v>852</v>
      </c>
      <c r="AD498" s="266" t="s">
        <v>853</v>
      </c>
      <c r="AE498" s="274" t="s">
        <v>854</v>
      </c>
      <c r="AF498" s="278" t="s">
        <v>851</v>
      </c>
      <c r="AG498" s="278" t="s">
        <v>852</v>
      </c>
      <c r="AH498" s="278" t="s">
        <v>853</v>
      </c>
      <c r="AI498" s="274" t="s">
        <v>1191</v>
      </c>
      <c r="AJ498" s="278" t="s">
        <v>2419</v>
      </c>
      <c r="AK498" s="266" t="s">
        <v>2385</v>
      </c>
      <c r="AL498" s="278" t="s">
        <v>772</v>
      </c>
      <c r="AM498" s="275" t="s">
        <v>761</v>
      </c>
      <c r="AN498" s="279" t="s">
        <v>897</v>
      </c>
      <c r="AO498" s="278" t="s">
        <v>2419</v>
      </c>
      <c r="AP498" s="278" t="s">
        <v>2385</v>
      </c>
      <c r="AQ498" s="278" t="s">
        <v>1199</v>
      </c>
      <c r="AR498" s="278" t="s">
        <v>772</v>
      </c>
      <c r="AS498" s="278" t="s">
        <v>761</v>
      </c>
      <c r="AT498" s="276" t="s">
        <v>1725</v>
      </c>
      <c r="AU498" s="266" t="s">
        <v>825</v>
      </c>
      <c r="AV498" s="266" t="s">
        <v>2476</v>
      </c>
      <c r="AW498" s="266" t="s">
        <v>1189</v>
      </c>
      <c r="AX498" s="266" t="s">
        <v>1728</v>
      </c>
      <c r="AY498" s="266" t="s">
        <v>2385</v>
      </c>
      <c r="AZ498" s="266" t="s">
        <v>2419</v>
      </c>
      <c r="BA498" s="266" t="s">
        <v>772</v>
      </c>
      <c r="BB498" s="266" t="s">
        <v>1729</v>
      </c>
      <c r="BC498" s="278" t="s">
        <v>772</v>
      </c>
      <c r="BD498" s="278" t="s">
        <v>761</v>
      </c>
      <c r="BE498" s="275" t="s">
        <v>1431</v>
      </c>
      <c r="BF498" s="266" t="s">
        <v>1736</v>
      </c>
      <c r="BG498" s="266" t="s">
        <v>2527</v>
      </c>
      <c r="BH498" s="266" t="s">
        <v>1737</v>
      </c>
      <c r="BI498" s="277" t="s">
        <v>1738</v>
      </c>
      <c r="BJ498" s="274" t="s">
        <v>2541</v>
      </c>
      <c r="BK498" s="278" t="s">
        <v>825</v>
      </c>
      <c r="BL498" s="278" t="s">
        <v>2419</v>
      </c>
      <c r="BM498" s="278" t="s">
        <v>772</v>
      </c>
      <c r="BN498" s="278" t="s">
        <v>761</v>
      </c>
      <c r="BO498" s="278"/>
      <c r="BP498" s="275" t="s">
        <v>1165</v>
      </c>
      <c r="BQ498" s="276" t="s">
        <v>825</v>
      </c>
      <c r="BR498" s="266" t="s">
        <v>569</v>
      </c>
      <c r="BS498" s="266" t="s">
        <v>2379</v>
      </c>
      <c r="BT498" s="266" t="s">
        <v>2385</v>
      </c>
      <c r="BU498" s="266" t="s">
        <v>2432</v>
      </c>
      <c r="BV498" s="266" t="s">
        <v>568</v>
      </c>
      <c r="BW498" s="427" t="s">
        <v>567</v>
      </c>
      <c r="BX498" s="278" t="s">
        <v>2403</v>
      </c>
      <c r="BY498" s="266" t="s">
        <v>2561</v>
      </c>
      <c r="BZ498" s="275" t="s">
        <v>761</v>
      </c>
    </row>
    <row r="499" spans="2:78" ht="12.75">
      <c r="B499" s="137">
        <v>1</v>
      </c>
      <c r="C499" s="112" t="str">
        <f aca="true" t="shared" si="54" ref="C499:C535">IF(Circle1&gt;=$B499,HLOOKUP(Dicipline1,talentfordisc,1+BQ499,FALSE)," ")</f>
        <v> </v>
      </c>
      <c r="D499" s="112" t="str">
        <f>IF(RIGHT(C499,3)="(D)",LEFT(C499,LEN(C499)-4),C499)</f>
        <v> </v>
      </c>
      <c r="E499" s="122">
        <f aca="true" t="shared" si="55" ref="E499:E535">F33</f>
        <v>0</v>
      </c>
      <c r="F499" s="134">
        <f ca="1">OFFSET(Cost_1_4,E499,0)</f>
        <v>0</v>
      </c>
      <c r="G499" s="122">
        <f>IF(C499&lt;&gt;" ",MATCH(D499,Talents!B$3:B$278,1),0)</f>
        <v>0</v>
      </c>
      <c r="H499" s="122" t="str">
        <f ca="1">IF(G499=0," ",OFFSET(Talents!C$2,G499,0))</f>
        <v> </v>
      </c>
      <c r="I499" s="122" t="str">
        <f ca="1">IF(G499=0," ",OFFSET(Talents!D$2,G499,0))</f>
        <v> </v>
      </c>
      <c r="J499" s="122" t="str">
        <f>IF(G499&gt;0,H499&amp;IF(I499&gt;0,"+"&amp;I499,"")," ")</f>
        <v> </v>
      </c>
      <c r="K499" s="122">
        <f aca="true" t="shared" si="56" ref="K499:K535">IF(E499&gt;0,G33,0)</f>
        <v>0</v>
      </c>
      <c r="L499" s="122" t="str">
        <f aca="true" t="shared" si="57" ref="L499:L530">IF(H499&lt;&gt;" ",E499+I499+VLOOKUP(H499,G$481:L$486,6,0)+K499," ")</f>
        <v> </v>
      </c>
      <c r="M499" s="122" t="str">
        <f ca="1">IF(L499&lt;&gt;" ",OFFSET(ActionDice,L499,0),"-")</f>
        <v>-</v>
      </c>
      <c r="N499" s="112" t="b">
        <f aca="true" t="shared" si="58" ref="N499:N535">OR(RIGHT(C499,3)="(D)",NOT(ISERROR(MATCH(D499&amp;" (D)",C$536:C$572,0))))</f>
        <v>0</v>
      </c>
      <c r="O499" s="122" t="str">
        <f ca="1">IF(G499&gt;0,IF(N499,"D",OFFSET(Talents!E$2,G499,0))&amp;OFFSET(Talents!F$2,G499,0)," ")</f>
        <v> </v>
      </c>
      <c r="P499" s="122" t="b">
        <f aca="true" t="shared" si="59" ref="P499:P535">AND(I33="",C499&lt;&gt;" ")</f>
        <v>0</v>
      </c>
      <c r="Q499" s="133">
        <f>IF(P499,1,0)</f>
        <v>0</v>
      </c>
      <c r="R499" s="135" t="b">
        <f aca="true" t="shared" si="60" ref="R499:R528">IF($BQ499&lt;=R$497,MATCH($BQ499,Q$499:Q$588,0))</f>
        <v>0</v>
      </c>
      <c r="S499" s="134">
        <f>IF(E155&lt;&gt;"",1,0)</f>
        <v>0</v>
      </c>
      <c r="T499" s="135" t="b">
        <f>IF($BQ499&lt;=T$497,MATCH($BQ499,S$499:S$522,0))</f>
        <v>0</v>
      </c>
      <c r="U499" s="134">
        <f>IF(E107&lt;&gt;"",1,0)</f>
        <v>0</v>
      </c>
      <c r="V499" s="134" t="b">
        <f>IF($BQ499&lt;=V$497,MATCH($BQ499,U$499:U$543,0))</f>
        <v>0</v>
      </c>
      <c r="W499" s="133">
        <f>IF(B336&lt;&gt;"",1,0)</f>
        <v>0</v>
      </c>
      <c r="X499" s="134">
        <f>IF(B368&lt;&gt;"",1,0)</f>
        <v>0</v>
      </c>
      <c r="Y499" s="134">
        <f>IF(B400&lt;&gt;"",1,0)</f>
        <v>0</v>
      </c>
      <c r="Z499" s="135">
        <f>IF(B432&lt;&gt;"",1,0)</f>
        <v>0</v>
      </c>
      <c r="AA499" s="133" t="b">
        <f aca="true" t="shared" si="61" ref="AA499:AA530">IF($BQ499&lt;=W$497,MATCH($BQ499,W$499:W$598,0))</f>
        <v>0</v>
      </c>
      <c r="AB499" s="134" t="b">
        <f aca="true" t="shared" si="62" ref="AB499:AB530">IF($BQ499&lt;=X$497,MATCH($BQ499,X$499:X$598,0))</f>
        <v>0</v>
      </c>
      <c r="AC499" s="134" t="b">
        <f aca="true" t="shared" si="63" ref="AC499:AC530">IF($BQ499&lt;=Y$497,MATCH($BQ499,Y$499:Y$598,0))</f>
        <v>0</v>
      </c>
      <c r="AD499" s="135" t="b">
        <f aca="true" t="shared" si="64" ref="AD499:AD530">IF($BQ499&lt;=Z$497,MATCH($BQ499,Z$499:Z$598,0))</f>
        <v>0</v>
      </c>
      <c r="AE499" s="349">
        <f ca="1">IF(AND(Elem!D7&lt;&gt;"",Elem!AO7=""),OFFSET(Spells!H$2,AA499,0),"")</f>
      </c>
      <c r="AF499" s="349">
        <f ca="1">IF(AND(Ill!D7&lt;&gt;"",Ill!AO7=""),OFFSET(Spells!R$2,AB499,0),"")</f>
      </c>
      <c r="AG499" s="349">
        <f ca="1">IF(AND(Neth!D7&lt;&gt;"",Neth!AO7=""),OFFSET(Spells!AB$2,AC499,0),"")</f>
      </c>
      <c r="AH499" s="319">
        <f ca="1">IF(AND(Wiz!D7&lt;&gt;"",Wiz!AO7=""),OFFSET(Spells!AL$2,AD499,0),"")</f>
      </c>
      <c r="AI499" s="170" t="str">
        <f aca="true" t="shared" si="65" ref="AI499:AI511">U18</f>
        <v>Dexterity</v>
      </c>
      <c r="AJ499" s="168">
        <f aca="true" t="shared" si="66" ref="AJ499:AJ511">W18</f>
        <v>0</v>
      </c>
      <c r="AK499" s="134">
        <f aca="true" ca="1" t="shared" si="67" ref="AK499:AK530">OFFSET(Cost_5_8,AJ499,0)</f>
        <v>0</v>
      </c>
      <c r="AL499" s="168">
        <f>IF(AJ499&gt;0,1,0)</f>
        <v>0</v>
      </c>
      <c r="AM499" s="215" t="b">
        <f aca="true" t="shared" si="68" ref="AM499:AM513">IF($BQ499&lt;=AM$497,MATCH($BQ499,AL$499:AL$585,0))</f>
        <v>0</v>
      </c>
      <c r="AN499" s="208" t="str">
        <f aca="true" t="shared" si="69" ref="AN499:AN515">B73&amp;IF(H73&lt;&gt;""," ("&amp;H73&amp;")","")</f>
        <v>Alchemy &amp; Potions</v>
      </c>
      <c r="AO499" s="134">
        <f aca="true" t="shared" si="70" ref="AO499:AO515">F73</f>
        <v>0</v>
      </c>
      <c r="AP499" s="134">
        <f ca="1">OFFSET(CostSkill,AO499,0)</f>
        <v>0</v>
      </c>
      <c r="AQ499" s="134" t="str">
        <f aca="true" t="shared" si="71" ref="AQ499:AQ515">G73</f>
        <v>P</v>
      </c>
      <c r="AR499" s="134">
        <f>IF(AND(AN499&lt;&gt;" ",AO499&gt;0),1,0)</f>
        <v>0</v>
      </c>
      <c r="AS499" s="135" t="b">
        <f aca="true" t="shared" si="72" ref="AS499:AS515">IF($BQ499&lt;=AS$497,MATCH(BQ499,AR$499:AR$637,0))</f>
        <v>0</v>
      </c>
      <c r="AT499" s="208" t="s">
        <v>1716</v>
      </c>
      <c r="AU499" s="167">
        <f>MATCH(AT499,Talents!H$3:H$129)</f>
        <v>21</v>
      </c>
      <c r="AV499" s="167" t="s">
        <v>1727</v>
      </c>
      <c r="AW499" s="134">
        <f ca="1">IF(AU499,OFFSET(Talents!K$2,Build!AU499,0)," ")</f>
        <v>2</v>
      </c>
      <c r="AX499" s="134">
        <f ca="1">IF(AU499,OFFSET(Talents!J$2,Build!AU499,0)," ")</f>
        <v>5</v>
      </c>
      <c r="AY499" s="134">
        <f ca="1">IF(AU499,OFFSET(Talents!L$2,Build!AU499,0)," ")</f>
        <v>100</v>
      </c>
      <c r="AZ499" s="134" t="e">
        <f ca="1">VALUE(RIGHT("00"&amp;OFFSET(Front!Q$13,MATCH(AV499,Front!A$14:A$43,0),0),2))</f>
        <v>#N/A</v>
      </c>
      <c r="BA499" s="134">
        <f>IF(ISERROR(AZ499),0,IF(AZ499&gt;=AX499,1,0))</f>
        <v>0</v>
      </c>
      <c r="BB499" s="134" t="b">
        <f aca="true" t="shared" si="73" ref="BB499:BB529">IF($BQ499&lt;=BB$497,MATCH(BQ499,BA$499:BA$529,0))</f>
        <v>0</v>
      </c>
      <c r="BC499" s="133">
        <f>IF(AND(L33&lt;&gt;" ",O33&lt;&gt;""),1,0)</f>
        <v>0</v>
      </c>
      <c r="BD499" s="134" t="b">
        <f aca="true" t="shared" si="74" ref="BD499:BD514">IF($BQ499&lt;=BD$497,MATCH(BQ499,BC$499:BC$529,0))</f>
        <v>0</v>
      </c>
      <c r="BE499" s="135">
        <f aca="true" ca="1" t="shared" si="75" ref="BE499:BE514">IF(BD499,OFFSET(Q$32,BD499,0),0)</f>
        <v>0</v>
      </c>
      <c r="BF499" s="167" t="str">
        <f aca="true" t="shared" si="76" ref="BF499:BF508">IF(U155&lt;&gt;"",U155," ")</f>
        <v> </v>
      </c>
      <c r="BG499" s="134">
        <f aca="true" t="shared" si="77" ref="BG499:BG508">X155</f>
        <v>0</v>
      </c>
      <c r="BH499" s="134">
        <f>IF(BF499&lt;&gt;" ",BG499,0)</f>
        <v>0</v>
      </c>
      <c r="BI499" s="136">
        <f>MID(BI500&amp;IF(BF499&lt;&gt;" ",", "&amp;BF499&amp;" ("&amp;BG499&amp;")",""),3,255)</f>
      </c>
      <c r="BJ499" s="326" t="s">
        <v>2632</v>
      </c>
      <c r="BK499" s="134" t="e">
        <f aca="true" t="shared" si="78" ref="BK499:BK511">MATCH(BJ499,D$499:D$588,0)</f>
        <v>#N/A</v>
      </c>
      <c r="BL499" s="134" t="e">
        <f aca="true" ca="1" t="shared" si="79" ref="BL499:BL511">OFFSET(E$498,BK499,0)+OFFSET(K$498,BK499,0)</f>
        <v>#N/A</v>
      </c>
      <c r="BM499" s="134">
        <f>IF(ISERROR(BL499),0,IF(BL499&gt;0,1,0))</f>
        <v>0</v>
      </c>
      <c r="BN499" s="134" t="b">
        <f>IF($BQ499&lt;=BN$497,MATCH($BQ499,BM$499:BM$529,0))</f>
        <v>0</v>
      </c>
      <c r="BO499" s="320" t="s">
        <v>168</v>
      </c>
      <c r="BP499" s="320" t="e">
        <f aca="true" t="shared" si="80" ref="BP499:BP511">CHAR(64+BM499)&amp;": "&amp;BO499&amp;" ("&amp;BL499&amp;")"</f>
        <v>#N/A</v>
      </c>
      <c r="BQ499" s="428">
        <v>1</v>
      </c>
      <c r="BR499" s="167" t="str">
        <f aca="true" t="shared" si="81" ref="BR499:BR514">B182</f>
        <v>Peasant's Garb</v>
      </c>
      <c r="BS499" s="134">
        <f aca="true" t="shared" si="82" ref="BS499:BS514">E182</f>
        <v>0</v>
      </c>
      <c r="BT499" s="134">
        <f aca="true" t="shared" si="83" ref="BT499:BT514">F182</f>
        <v>1.2</v>
      </c>
      <c r="BU499" s="134" t="s">
        <v>2584</v>
      </c>
      <c r="BV499" s="167" t="e">
        <f>FIND(",",BR499)</f>
        <v>#VALUE!</v>
      </c>
      <c r="BW499" s="249" t="str">
        <f>IF(ISERROR(BV499),BR499,MID(BR499,BV499+2,20)&amp;" "&amp;LEFT(BR499,BV499-1))&amp;IF(ISERROR(VALUE(BS499)),"",IF(BS499&gt;1," ("&amp;BS499&amp;")",""))</f>
        <v>Peasant's Garb</v>
      </c>
      <c r="BX499" s="249" t="str">
        <f>IF(BU499=" "," ",IF(ISERROR(VALUE(BS499)),BU499,BS499*BU499))</f>
        <v> </v>
      </c>
      <c r="BY499" s="134">
        <f>IF(AND(BR499&lt;&gt;0,BS499&lt;&gt;0),1,0)</f>
        <v>0</v>
      </c>
      <c r="BZ499" s="135" t="b">
        <f>IF($BQ499&lt;=BZ$497,MATCH($BQ499,BY$499:BY$680,0))</f>
        <v>0</v>
      </c>
    </row>
    <row r="500" spans="2:78" ht="12.75">
      <c r="B500" s="137">
        <v>1</v>
      </c>
      <c r="C500" s="112" t="str">
        <f t="shared" si="54"/>
        <v> </v>
      </c>
      <c r="D500" s="112" t="str">
        <f aca="true" t="shared" si="84" ref="D500:D535">IF(RIGHT(C500,3)="(D)",LEFT(C500,LEN(C500)-4),C500)</f>
        <v> </v>
      </c>
      <c r="E500" s="122">
        <f t="shared" si="55"/>
        <v>0</v>
      </c>
      <c r="F500" s="134">
        <f aca="true" ca="1" t="shared" si="85" ref="F500:F512">OFFSET(Cost_1_4,E500,0)</f>
        <v>0</v>
      </c>
      <c r="G500" s="122">
        <f>IF(C500&lt;&gt;" ",MATCH(D500,Talents!B$3:B$278,1),0)</f>
        <v>0</v>
      </c>
      <c r="H500" s="122" t="str">
        <f ca="1">IF(G500=0," ",OFFSET(Talents!C$2,G500,0))</f>
        <v> </v>
      </c>
      <c r="I500" s="122" t="str">
        <f ca="1">IF(G500=0," ",OFFSET(Talents!D$2,G500,0))</f>
        <v> </v>
      </c>
      <c r="J500" s="122" t="str">
        <f aca="true" t="shared" si="86" ref="J500:J535">IF(G500&gt;0,H500&amp;IF(I500&gt;0,"+"&amp;I500,"")," ")</f>
        <v> </v>
      </c>
      <c r="K500" s="122">
        <f t="shared" si="56"/>
        <v>0</v>
      </c>
      <c r="L500" s="122" t="str">
        <f t="shared" si="57"/>
        <v> </v>
      </c>
      <c r="M500" s="122" t="str">
        <f aca="true" ca="1" t="shared" si="87" ref="M500:M563">IF(L500&lt;&gt;" ",OFFSET(ActionDice,L500,0),"-")</f>
        <v>-</v>
      </c>
      <c r="N500" s="112" t="b">
        <f t="shared" si="58"/>
        <v>0</v>
      </c>
      <c r="O500" s="122" t="str">
        <f ca="1">IF(G500&gt;0,IF(N500,"D",OFFSET(Talents!E$2,G500,0))&amp;OFFSET(Talents!F$2,G500,0)," ")</f>
        <v> </v>
      </c>
      <c r="P500" s="122" t="b">
        <f t="shared" si="59"/>
        <v>0</v>
      </c>
      <c r="Q500" s="169">
        <f aca="true" t="shared" si="88" ref="Q500:Q531">Q499+IF(P500,1,0)</f>
        <v>0</v>
      </c>
      <c r="R500" s="215" t="b">
        <f t="shared" si="60"/>
        <v>0</v>
      </c>
      <c r="S500" s="168">
        <f aca="true" t="shared" si="89" ref="S500:S522">S499+IF(E156&lt;&gt;"",1,0)</f>
        <v>0</v>
      </c>
      <c r="T500" s="215" t="b">
        <f>IF($BQ500&lt;=T$497,MATCH($BQ500,S$499:S$522,0))</f>
        <v>0</v>
      </c>
      <c r="U500" s="168">
        <f aca="true" t="shared" si="90" ref="U500:U543">U499+IF(E108&lt;&gt;"",1,0)</f>
        <v>0</v>
      </c>
      <c r="V500" s="168" t="b">
        <f>IF($BQ500&lt;=V$497,MATCH($BQ500,U$499:U$543,0))</f>
        <v>0</v>
      </c>
      <c r="W500" s="169">
        <f aca="true" t="shared" si="91" ref="W500:W528">W499+IF(B337&lt;&gt;"",1,0)</f>
        <v>0</v>
      </c>
      <c r="X500" s="168">
        <f aca="true" t="shared" si="92" ref="X500:X528">X499+IF(B369&lt;&gt;"",1,0)</f>
        <v>0</v>
      </c>
      <c r="Y500" s="168">
        <f aca="true" t="shared" si="93" ref="Y500:Y528">Y499+IF(B401&lt;&gt;"",1,0)</f>
        <v>0</v>
      </c>
      <c r="Z500" s="215">
        <f aca="true" t="shared" si="94" ref="Z500:Z528">Z499+IF(B433&lt;&gt;"",1,0)</f>
        <v>0</v>
      </c>
      <c r="AA500" s="169" t="b">
        <f t="shared" si="61"/>
        <v>0</v>
      </c>
      <c r="AB500" s="168" t="b">
        <f t="shared" si="62"/>
        <v>0</v>
      </c>
      <c r="AC500" s="168" t="b">
        <f t="shared" si="63"/>
        <v>0</v>
      </c>
      <c r="AD500" s="215" t="b">
        <f t="shared" si="64"/>
        <v>0</v>
      </c>
      <c r="AE500" s="349">
        <f ca="1">IF(AND(Elem!D8&lt;&gt;"",Elem!AO8=""),OFFSET(Spells!H$2,AA500,0),"")</f>
      </c>
      <c r="AF500" s="349">
        <f ca="1">IF(AND(Ill!D8&lt;&gt;"",Ill!AO8=""),OFFSET(Spells!R$2,AB500,0),"")</f>
      </c>
      <c r="AG500" s="349">
        <f ca="1">IF(AND(Neth!D8&lt;&gt;"",Neth!AO8=""),OFFSET(Spells!AB$2,AC500,0),"")</f>
      </c>
      <c r="AH500" s="319">
        <f ca="1">IF(AND(Wiz!D8&lt;&gt;"",Wiz!AO8=""),OFFSET(Spells!AL$2,AD500,0),"")</f>
      </c>
      <c r="AI500" s="170" t="str">
        <f t="shared" si="65"/>
        <v>Strength</v>
      </c>
      <c r="AJ500" s="168">
        <f t="shared" si="66"/>
        <v>0</v>
      </c>
      <c r="AK500" s="168">
        <f ca="1" t="shared" si="67"/>
        <v>0</v>
      </c>
      <c r="AL500" s="168">
        <f aca="true" t="shared" si="95" ref="AL500:AL511">AL499+IF(AJ500&gt;0,1,0)</f>
        <v>0</v>
      </c>
      <c r="AM500" s="215" t="b">
        <f t="shared" si="68"/>
        <v>0</v>
      </c>
      <c r="AN500" s="170" t="str">
        <f t="shared" si="69"/>
        <v>Ancient Weapons</v>
      </c>
      <c r="AO500" s="168">
        <f t="shared" si="70"/>
        <v>0</v>
      </c>
      <c r="AP500" s="168">
        <f aca="true" ca="1" t="shared" si="96" ref="AP500:AP558">OFFSET(CostSkill,AO500,0)</f>
        <v>0</v>
      </c>
      <c r="AQ500" s="168" t="str">
        <f t="shared" si="71"/>
        <v>P</v>
      </c>
      <c r="AR500" s="168">
        <f aca="true" t="shared" si="97" ref="AR500:AR528">AR499+IF(AND(AN500&lt;&gt;" ",AO500&gt;0),1,0)</f>
        <v>0</v>
      </c>
      <c r="AS500" s="215" t="b">
        <f t="shared" si="72"/>
        <v>0</v>
      </c>
      <c r="AT500" s="170" t="s">
        <v>1717</v>
      </c>
      <c r="AU500" s="249">
        <f>MATCH(AT500,Talents!H$3:H$129)</f>
        <v>115</v>
      </c>
      <c r="AV500" s="249" t="s">
        <v>1727</v>
      </c>
      <c r="AW500" s="168">
        <f ca="1">IF(AU500,OFFSET(Talents!K$2,Build!AU500,0)," ")</f>
        <v>2</v>
      </c>
      <c r="AX500" s="168">
        <f ca="1">IF(AU500,OFFSET(Talents!J$2,Build!AU500,0)," ")</f>
        <v>5</v>
      </c>
      <c r="AY500" s="168">
        <f ca="1">IF(AU500,OFFSET(Talents!L$2,Build!AU500,0)," ")</f>
        <v>100</v>
      </c>
      <c r="AZ500" s="168" t="e">
        <f ca="1">VALUE(RIGHT("00"&amp;OFFSET(Front!Q$13,MATCH(AV500,Front!A$14:A$43,0),0),2))</f>
        <v>#N/A</v>
      </c>
      <c r="BA500" s="168">
        <f aca="true" t="shared" si="98" ref="BA500:BA529">BA499+IF(ISERROR(AZ500),0,IF(AZ500&gt;=AX500,1,0))</f>
        <v>0</v>
      </c>
      <c r="BB500" s="168" t="b">
        <f t="shared" si="73"/>
        <v>0</v>
      </c>
      <c r="BC500" s="169">
        <f aca="true" t="shared" si="99" ref="BC500:BC514">BC499+IF(AND(L34&lt;&gt;" ",O34&lt;&gt;""),1,0)</f>
        <v>0</v>
      </c>
      <c r="BD500" s="168" t="b">
        <f t="shared" si="74"/>
        <v>0</v>
      </c>
      <c r="BE500" s="215">
        <f ca="1" t="shared" si="75"/>
        <v>0</v>
      </c>
      <c r="BF500" s="249" t="str">
        <f t="shared" si="76"/>
        <v> </v>
      </c>
      <c r="BG500" s="168">
        <f t="shared" si="77"/>
        <v>0</v>
      </c>
      <c r="BH500" s="168">
        <f>BH499+IF(BF500&lt;&gt;" ",BG500,0)</f>
        <v>0</v>
      </c>
      <c r="BI500" s="171">
        <f aca="true" t="shared" si="100" ref="BI500:BI514">BI501&amp;IF(BF500&lt;&gt;" ",", "&amp;BF500&amp;" ("&amp;BG500&amp;")","")</f>
      </c>
      <c r="BJ500" s="327" t="s">
        <v>2640</v>
      </c>
      <c r="BK500" s="168" t="e">
        <f t="shared" si="78"/>
        <v>#N/A</v>
      </c>
      <c r="BL500" s="168" t="e">
        <f ca="1" t="shared" si="79"/>
        <v>#N/A</v>
      </c>
      <c r="BM500" s="168">
        <f aca="true" t="shared" si="101" ref="BM500:BM511">BM499+IF(ISERROR(BL500),0,IF(BL500&gt;0,1,0))</f>
        <v>0</v>
      </c>
      <c r="BN500" s="168" t="b">
        <f aca="true" t="shared" si="102" ref="BN500:BN511">IF($BQ500&lt;=BN$497,MATCH($BQ500,BM$499:BM$529,0))</f>
        <v>0</v>
      </c>
      <c r="BO500" s="321" t="s">
        <v>168</v>
      </c>
      <c r="BP500" s="321" t="e">
        <f t="shared" si="80"/>
        <v>#N/A</v>
      </c>
      <c r="BQ500" s="211">
        <f>BQ499+1</f>
        <v>2</v>
      </c>
      <c r="BR500" s="249" t="str">
        <f t="shared" si="81"/>
        <v>Peasant's Robes</v>
      </c>
      <c r="BS500" s="168">
        <f t="shared" si="82"/>
        <v>0</v>
      </c>
      <c r="BT500" s="168">
        <f t="shared" si="83"/>
        <v>3</v>
      </c>
      <c r="BU500" s="168" t="s">
        <v>2584</v>
      </c>
      <c r="BV500" s="249" t="e">
        <f aca="true" t="shared" si="103" ref="BV500:BV518">FIND(",",BR500)</f>
        <v>#VALUE!</v>
      </c>
      <c r="BW500" s="249" t="str">
        <f aca="true" t="shared" si="104" ref="BW500:BW518">IF(ISERROR(BV500),BR500,MID(BR500,BV500+2,20)&amp;" "&amp;LEFT(BR500,BV500-1))&amp;IF(ISERROR(VALUE(BS500)),"",IF(BS500&gt;1," ("&amp;BS500&amp;")",""))</f>
        <v>Peasant's Robes</v>
      </c>
      <c r="BX500" s="249" t="str">
        <f aca="true" t="shared" si="105" ref="BX500:BX563">IF(BU500=" "," ",IF(ISERROR(VALUE(BS500)),BU500,BS500*BU500))</f>
        <v> </v>
      </c>
      <c r="BY500" s="168">
        <f>BY499+IF(AND(BR500&lt;&gt;0,BS500&lt;&gt;0),1,0)</f>
        <v>0</v>
      </c>
      <c r="BZ500" s="215" t="b">
        <f aca="true" t="shared" si="106" ref="BZ500:BZ538">IF($BQ500&lt;=BZ$497,MATCH($BQ500,BY$499:BY$680,0))</f>
        <v>0</v>
      </c>
    </row>
    <row r="501" spans="2:78" ht="12.75">
      <c r="B501" s="137">
        <v>1</v>
      </c>
      <c r="C501" s="112" t="str">
        <f t="shared" si="54"/>
        <v> </v>
      </c>
      <c r="D501" s="112" t="str">
        <f t="shared" si="84"/>
        <v> </v>
      </c>
      <c r="E501" s="122">
        <f t="shared" si="55"/>
        <v>0</v>
      </c>
      <c r="F501" s="134">
        <f ca="1" t="shared" si="85"/>
        <v>0</v>
      </c>
      <c r="G501" s="122">
        <f>IF(C501&lt;&gt;" ",MATCH(D501,Talents!B$3:B$278,1),0)</f>
        <v>0</v>
      </c>
      <c r="H501" s="122" t="str">
        <f ca="1">IF(G501=0," ",OFFSET(Talents!C$2,G501,0))</f>
        <v> </v>
      </c>
      <c r="I501" s="122" t="str">
        <f ca="1">IF(G501=0," ",OFFSET(Talents!D$2,G501,0))</f>
        <v> </v>
      </c>
      <c r="J501" s="122" t="str">
        <f t="shared" si="86"/>
        <v> </v>
      </c>
      <c r="K501" s="122">
        <f t="shared" si="56"/>
        <v>0</v>
      </c>
      <c r="L501" s="122" t="str">
        <f t="shared" si="57"/>
        <v> </v>
      </c>
      <c r="M501" s="122" t="str">
        <f ca="1" t="shared" si="87"/>
        <v>-</v>
      </c>
      <c r="N501" s="112" t="b">
        <f t="shared" si="58"/>
        <v>0</v>
      </c>
      <c r="O501" s="122" t="str">
        <f ca="1">IF(G501&gt;0,IF(N501,"D",OFFSET(Talents!E$2,G501,0))&amp;OFFSET(Talents!F$2,G501,0)," ")</f>
        <v> </v>
      </c>
      <c r="P501" s="122" t="b">
        <f t="shared" si="59"/>
        <v>0</v>
      </c>
      <c r="Q501" s="169">
        <f t="shared" si="88"/>
        <v>0</v>
      </c>
      <c r="R501" s="215" t="b">
        <f t="shared" si="60"/>
        <v>0</v>
      </c>
      <c r="S501" s="168">
        <f t="shared" si="89"/>
        <v>0</v>
      </c>
      <c r="T501" s="215" t="b">
        <f>IF($BQ501&lt;=T$497,MATCH($BQ501,S$499:S$522,0))</f>
        <v>0</v>
      </c>
      <c r="U501" s="168">
        <f t="shared" si="90"/>
        <v>0</v>
      </c>
      <c r="V501" s="168" t="b">
        <f>IF($BQ501&lt;=V$497,MATCH($BQ501,U$499:U$543,0))</f>
        <v>0</v>
      </c>
      <c r="W501" s="169">
        <f t="shared" si="91"/>
        <v>0</v>
      </c>
      <c r="X501" s="168">
        <f t="shared" si="92"/>
        <v>0</v>
      </c>
      <c r="Y501" s="168">
        <f t="shared" si="93"/>
        <v>0</v>
      </c>
      <c r="Z501" s="215">
        <f t="shared" si="94"/>
        <v>0</v>
      </c>
      <c r="AA501" s="169" t="b">
        <f t="shared" si="61"/>
        <v>0</v>
      </c>
      <c r="AB501" s="168" t="b">
        <f t="shared" si="62"/>
        <v>0</v>
      </c>
      <c r="AC501" s="168" t="b">
        <f t="shared" si="63"/>
        <v>0</v>
      </c>
      <c r="AD501" s="215" t="b">
        <f t="shared" si="64"/>
        <v>0</v>
      </c>
      <c r="AE501" s="349">
        <f ca="1">IF(AND(Elem!D9&lt;&gt;"",Elem!AO9=""),OFFSET(Spells!H$2,AA501,0),"")</f>
      </c>
      <c r="AF501" s="349">
        <f ca="1">IF(AND(Ill!D9&lt;&gt;"",Ill!AO9=""),OFFSET(Spells!R$2,AB501,0),"")</f>
      </c>
      <c r="AG501" s="349">
        <f ca="1">IF(AND(Neth!D9&lt;&gt;"",Neth!AO9=""),OFFSET(Spells!AB$2,AC501,0),"")</f>
      </c>
      <c r="AH501" s="319">
        <f ca="1">IF(AND(Wiz!D9&lt;&gt;"",Wiz!AO9=""),OFFSET(Spells!AL$2,AD501,0),"")</f>
      </c>
      <c r="AI501" s="170" t="str">
        <f t="shared" si="65"/>
        <v>Toughness</v>
      </c>
      <c r="AJ501" s="168">
        <f t="shared" si="66"/>
        <v>0</v>
      </c>
      <c r="AK501" s="168">
        <f ca="1" t="shared" si="67"/>
        <v>0</v>
      </c>
      <c r="AL501" s="168">
        <f t="shared" si="95"/>
        <v>0</v>
      </c>
      <c r="AM501" s="215" t="b">
        <f t="shared" si="68"/>
        <v>0</v>
      </c>
      <c r="AN501" s="170" t="str">
        <f t="shared" si="69"/>
        <v>Animal Lore</v>
      </c>
      <c r="AO501" s="168">
        <f t="shared" si="70"/>
        <v>0</v>
      </c>
      <c r="AP501" s="168">
        <f ca="1" t="shared" si="96"/>
        <v>0</v>
      </c>
      <c r="AQ501" s="168" t="str">
        <f t="shared" si="71"/>
        <v>P</v>
      </c>
      <c r="AR501" s="168">
        <f t="shared" si="97"/>
        <v>0</v>
      </c>
      <c r="AS501" s="215" t="b">
        <f t="shared" si="72"/>
        <v>0</v>
      </c>
      <c r="AT501" s="170" t="s">
        <v>1718</v>
      </c>
      <c r="AU501" s="249">
        <f>MATCH(AT501,Talents!H$3:H$129)</f>
        <v>117</v>
      </c>
      <c r="AV501" s="249" t="s">
        <v>1727</v>
      </c>
      <c r="AW501" s="168">
        <f ca="1">IF(AU501,OFFSET(Talents!K$2,Build!AU501,0)," ")</f>
        <v>2</v>
      </c>
      <c r="AX501" s="168">
        <f ca="1">IF(AU501,OFFSET(Talents!J$2,Build!AU501,0)," ")</f>
        <v>6</v>
      </c>
      <c r="AY501" s="168">
        <f ca="1">IF(AU501,OFFSET(Talents!L$2,Build!AU501,0)," ")</f>
        <v>100</v>
      </c>
      <c r="AZ501" s="168" t="e">
        <f ca="1">VALUE(RIGHT("00"&amp;OFFSET(Front!Q$13,MATCH(AV501,Front!A$14:A$43,0),0),2))</f>
        <v>#N/A</v>
      </c>
      <c r="BA501" s="168">
        <f t="shared" si="98"/>
        <v>0</v>
      </c>
      <c r="BB501" s="168" t="b">
        <f t="shared" si="73"/>
        <v>0</v>
      </c>
      <c r="BC501" s="169">
        <f t="shared" si="99"/>
        <v>0</v>
      </c>
      <c r="BD501" s="168" t="b">
        <f t="shared" si="74"/>
        <v>0</v>
      </c>
      <c r="BE501" s="215">
        <f ca="1" t="shared" si="75"/>
        <v>0</v>
      </c>
      <c r="BF501" s="249" t="str">
        <f t="shared" si="76"/>
        <v> </v>
      </c>
      <c r="BG501" s="168">
        <f t="shared" si="77"/>
        <v>0</v>
      </c>
      <c r="BH501" s="168">
        <f aca="true" t="shared" si="107" ref="BH501:BH515">BH500+IF(BF501&lt;&gt;" ",BG501,0)</f>
        <v>0</v>
      </c>
      <c r="BI501" s="171">
        <f t="shared" si="100"/>
      </c>
      <c r="BJ501" s="327" t="s">
        <v>2662</v>
      </c>
      <c r="BK501" s="168" t="e">
        <f t="shared" si="78"/>
        <v>#N/A</v>
      </c>
      <c r="BL501" s="168" t="e">
        <f ca="1" t="shared" si="79"/>
        <v>#N/A</v>
      </c>
      <c r="BM501" s="168">
        <f t="shared" si="101"/>
        <v>0</v>
      </c>
      <c r="BN501" s="168" t="b">
        <f t="shared" si="102"/>
        <v>0</v>
      </c>
      <c r="BO501" s="321" t="s">
        <v>168</v>
      </c>
      <c r="BP501" s="321" t="e">
        <f t="shared" si="80"/>
        <v>#N/A</v>
      </c>
      <c r="BQ501" s="211">
        <f aca="true" t="shared" si="108" ref="BQ501:BQ564">BQ500+1</f>
        <v>3</v>
      </c>
      <c r="BR501" s="249" t="str">
        <f t="shared" si="81"/>
        <v>Traveler's Garb</v>
      </c>
      <c r="BS501" s="168">
        <f t="shared" si="82"/>
        <v>0</v>
      </c>
      <c r="BT501" s="168">
        <f t="shared" si="83"/>
        <v>8</v>
      </c>
      <c r="BU501" s="168" t="s">
        <v>2584</v>
      </c>
      <c r="BV501" s="249" t="e">
        <f t="shared" si="103"/>
        <v>#VALUE!</v>
      </c>
      <c r="BW501" s="249" t="str">
        <f t="shared" si="104"/>
        <v>Traveler's Garb</v>
      </c>
      <c r="BX501" s="249" t="str">
        <f t="shared" si="105"/>
        <v> </v>
      </c>
      <c r="BY501" s="168">
        <f aca="true" t="shared" si="109" ref="BY501:BY564">BY500+IF(AND(BR501&lt;&gt;0,BS501&lt;&gt;0),1,0)</f>
        <v>0</v>
      </c>
      <c r="BZ501" s="215" t="b">
        <f t="shared" si="106"/>
        <v>0</v>
      </c>
    </row>
    <row r="502" spans="2:78" ht="12.75">
      <c r="B502" s="137">
        <v>1</v>
      </c>
      <c r="C502" s="112" t="str">
        <f t="shared" si="54"/>
        <v> </v>
      </c>
      <c r="D502" s="112" t="str">
        <f t="shared" si="84"/>
        <v> </v>
      </c>
      <c r="E502" s="122">
        <f t="shared" si="55"/>
        <v>0</v>
      </c>
      <c r="F502" s="134">
        <f ca="1" t="shared" si="85"/>
        <v>0</v>
      </c>
      <c r="G502" s="122">
        <f>IF(C502&lt;&gt;" ",MATCH(D502,Talents!B$3:B$278,1),0)</f>
        <v>0</v>
      </c>
      <c r="H502" s="122" t="str">
        <f ca="1">IF(G502=0," ",OFFSET(Talents!C$2,G502,0))</f>
        <v> </v>
      </c>
      <c r="I502" s="122" t="str">
        <f ca="1">IF(G502=0," ",OFFSET(Talents!D$2,G502,0))</f>
        <v> </v>
      </c>
      <c r="J502" s="122" t="str">
        <f t="shared" si="86"/>
        <v> </v>
      </c>
      <c r="K502" s="122">
        <f t="shared" si="56"/>
        <v>0</v>
      </c>
      <c r="L502" s="122" t="str">
        <f t="shared" si="57"/>
        <v> </v>
      </c>
      <c r="M502" s="122" t="str">
        <f ca="1" t="shared" si="87"/>
        <v>-</v>
      </c>
      <c r="N502" s="112" t="b">
        <f t="shared" si="58"/>
        <v>0</v>
      </c>
      <c r="O502" s="122" t="str">
        <f ca="1">IF(G502&gt;0,IF(N502,"D",OFFSET(Talents!E$2,G502,0))&amp;OFFSET(Talents!F$2,G502,0)," ")</f>
        <v> </v>
      </c>
      <c r="P502" s="122" t="b">
        <f t="shared" si="59"/>
        <v>0</v>
      </c>
      <c r="Q502" s="169">
        <f t="shared" si="88"/>
        <v>0</v>
      </c>
      <c r="R502" s="215" t="b">
        <f t="shared" si="60"/>
        <v>0</v>
      </c>
      <c r="S502" s="168">
        <f t="shared" si="89"/>
        <v>0</v>
      </c>
      <c r="T502" s="215" t="b">
        <f>IF($BQ502&lt;=T$497,MATCH($BQ502,S$499:S$522,0))</f>
        <v>0</v>
      </c>
      <c r="U502" s="168">
        <f t="shared" si="90"/>
        <v>0</v>
      </c>
      <c r="V502" s="168" t="b">
        <f>IF($BQ502&lt;=V$497,MATCH($BQ502,U$499:U$543,0))</f>
        <v>0</v>
      </c>
      <c r="W502" s="169">
        <f t="shared" si="91"/>
        <v>0</v>
      </c>
      <c r="X502" s="168">
        <f t="shared" si="92"/>
        <v>0</v>
      </c>
      <c r="Y502" s="168">
        <f t="shared" si="93"/>
        <v>0</v>
      </c>
      <c r="Z502" s="215">
        <f t="shared" si="94"/>
        <v>0</v>
      </c>
      <c r="AA502" s="169" t="b">
        <f t="shared" si="61"/>
        <v>0</v>
      </c>
      <c r="AB502" s="168" t="b">
        <f t="shared" si="62"/>
        <v>0</v>
      </c>
      <c r="AC502" s="168" t="b">
        <f t="shared" si="63"/>
        <v>0</v>
      </c>
      <c r="AD502" s="215" t="b">
        <f t="shared" si="64"/>
        <v>0</v>
      </c>
      <c r="AE502" s="349">
        <f ca="1">IF(AND(Elem!D10&lt;&gt;"",Elem!AO10=""),OFFSET(Spells!H$2,AA502,0),"")</f>
      </c>
      <c r="AF502" s="349">
        <f ca="1">IF(AND(Ill!D10&lt;&gt;"",Ill!AO10=""),OFFSET(Spells!R$2,AB502,0),"")</f>
      </c>
      <c r="AG502" s="349">
        <f ca="1">IF(AND(Neth!D10&lt;&gt;"",Neth!AO10=""),OFFSET(Spells!AB$2,AC502,0),"")</f>
      </c>
      <c r="AH502" s="319">
        <f ca="1">IF(AND(Wiz!D10&lt;&gt;"",Wiz!AO10=""),OFFSET(Spells!AL$2,AD502,0),"")</f>
      </c>
      <c r="AI502" s="170" t="str">
        <f t="shared" si="65"/>
        <v>Perception</v>
      </c>
      <c r="AJ502" s="168">
        <f t="shared" si="66"/>
        <v>0</v>
      </c>
      <c r="AK502" s="168">
        <f ca="1" t="shared" si="67"/>
        <v>0</v>
      </c>
      <c r="AL502" s="168">
        <f t="shared" si="95"/>
        <v>0</v>
      </c>
      <c r="AM502" s="215" t="b">
        <f t="shared" si="68"/>
        <v>0</v>
      </c>
      <c r="AN502" s="170" t="str">
        <f t="shared" si="69"/>
        <v>Barsaivian History</v>
      </c>
      <c r="AO502" s="168">
        <f t="shared" si="70"/>
        <v>0</v>
      </c>
      <c r="AP502" s="168">
        <f ca="1" t="shared" si="96"/>
        <v>0</v>
      </c>
      <c r="AQ502" s="168" t="str">
        <f t="shared" si="71"/>
        <v>P</v>
      </c>
      <c r="AR502" s="168">
        <f t="shared" si="97"/>
        <v>0</v>
      </c>
      <c r="AS502" s="215" t="b">
        <f t="shared" si="72"/>
        <v>0</v>
      </c>
      <c r="AT502" s="170" t="s">
        <v>1719</v>
      </c>
      <c r="AU502" s="249">
        <f>MATCH(AT502,Talents!H$3:H$129)</f>
        <v>118</v>
      </c>
      <c r="AV502" s="249" t="s">
        <v>1727</v>
      </c>
      <c r="AW502" s="168">
        <f ca="1">IF(AU502,OFFSET(Talents!K$2,Build!AU502,0)," ")</f>
        <v>3</v>
      </c>
      <c r="AX502" s="168">
        <f ca="1">IF(AU502,OFFSET(Talents!J$2,Build!AU502,0)," ")</f>
        <v>3</v>
      </c>
      <c r="AY502" s="168">
        <f ca="1">IF(AU502,OFFSET(Talents!L$2,Build!AU502,0)," ")</f>
        <v>100</v>
      </c>
      <c r="AZ502" s="168" t="e">
        <f ca="1">VALUE(RIGHT("00"&amp;OFFSET(Front!Q$13,MATCH(AV502,Front!A$14:A$43,0),0),2))</f>
        <v>#N/A</v>
      </c>
      <c r="BA502" s="168">
        <f t="shared" si="98"/>
        <v>0</v>
      </c>
      <c r="BB502" s="168" t="b">
        <f t="shared" si="73"/>
        <v>0</v>
      </c>
      <c r="BC502" s="169">
        <f t="shared" si="99"/>
        <v>0</v>
      </c>
      <c r="BD502" s="168" t="b">
        <f t="shared" si="74"/>
        <v>0</v>
      </c>
      <c r="BE502" s="215">
        <f ca="1" t="shared" si="75"/>
        <v>0</v>
      </c>
      <c r="BF502" s="249" t="str">
        <f t="shared" si="76"/>
        <v> </v>
      </c>
      <c r="BG502" s="168">
        <f t="shared" si="77"/>
        <v>0</v>
      </c>
      <c r="BH502" s="168">
        <f t="shared" si="107"/>
        <v>0</v>
      </c>
      <c r="BI502" s="171">
        <f t="shared" si="100"/>
      </c>
      <c r="BJ502" s="327" t="s">
        <v>2689</v>
      </c>
      <c r="BK502" s="168" t="e">
        <f t="shared" si="78"/>
        <v>#N/A</v>
      </c>
      <c r="BL502" s="168" t="e">
        <f ca="1" t="shared" si="79"/>
        <v>#N/A</v>
      </c>
      <c r="BM502" s="168">
        <f t="shared" si="101"/>
        <v>0</v>
      </c>
      <c r="BN502" s="168" t="b">
        <f t="shared" si="102"/>
        <v>0</v>
      </c>
      <c r="BO502" s="321" t="s">
        <v>168</v>
      </c>
      <c r="BP502" s="321" t="e">
        <f t="shared" si="80"/>
        <v>#N/A</v>
      </c>
      <c r="BQ502" s="211">
        <f t="shared" si="108"/>
        <v>4</v>
      </c>
      <c r="BR502" s="249" t="str">
        <f t="shared" si="81"/>
        <v>Traveler's Robes</v>
      </c>
      <c r="BS502" s="168">
        <f t="shared" si="82"/>
        <v>0</v>
      </c>
      <c r="BT502" s="168">
        <f t="shared" si="83"/>
        <v>9</v>
      </c>
      <c r="BU502" s="168" t="s">
        <v>2584</v>
      </c>
      <c r="BV502" s="249" t="e">
        <f t="shared" si="103"/>
        <v>#VALUE!</v>
      </c>
      <c r="BW502" s="249" t="str">
        <f t="shared" si="104"/>
        <v>Traveler's Robes</v>
      </c>
      <c r="BX502" s="249" t="str">
        <f t="shared" si="105"/>
        <v> </v>
      </c>
      <c r="BY502" s="168">
        <f t="shared" si="109"/>
        <v>0</v>
      </c>
      <c r="BZ502" s="215" t="b">
        <f t="shared" si="106"/>
        <v>0</v>
      </c>
    </row>
    <row r="503" spans="2:78" ht="12.75">
      <c r="B503" s="137">
        <v>1</v>
      </c>
      <c r="C503" s="112" t="str">
        <f t="shared" si="54"/>
        <v> </v>
      </c>
      <c r="D503" s="112" t="str">
        <f t="shared" si="84"/>
        <v> </v>
      </c>
      <c r="E503" s="122">
        <f t="shared" si="55"/>
        <v>0</v>
      </c>
      <c r="F503" s="134">
        <f ca="1" t="shared" si="85"/>
        <v>0</v>
      </c>
      <c r="G503" s="122">
        <f>IF(C503&lt;&gt;" ",MATCH(D503,Talents!B$3:B$278,1),0)</f>
        <v>0</v>
      </c>
      <c r="H503" s="122" t="str">
        <f ca="1">IF(G503=0," ",OFFSET(Talents!C$2,G503,0))</f>
        <v> </v>
      </c>
      <c r="I503" s="122" t="str">
        <f ca="1">IF(G503=0," ",OFFSET(Talents!D$2,G503,0))</f>
        <v> </v>
      </c>
      <c r="J503" s="122" t="str">
        <f t="shared" si="86"/>
        <v> </v>
      </c>
      <c r="K503" s="122">
        <f t="shared" si="56"/>
        <v>0</v>
      </c>
      <c r="L503" s="122" t="str">
        <f t="shared" si="57"/>
        <v> </v>
      </c>
      <c r="M503" s="122" t="str">
        <f ca="1" t="shared" si="87"/>
        <v>-</v>
      </c>
      <c r="N503" s="112" t="b">
        <f t="shared" si="58"/>
        <v>0</v>
      </c>
      <c r="O503" s="122" t="str">
        <f ca="1">IF(G503&gt;0,IF(N503,"D",OFFSET(Talents!E$2,G503,0))&amp;OFFSET(Talents!F$2,G503,0)," ")</f>
        <v> </v>
      </c>
      <c r="P503" s="122" t="b">
        <f t="shared" si="59"/>
        <v>0</v>
      </c>
      <c r="Q503" s="169">
        <f t="shared" si="88"/>
        <v>0</v>
      </c>
      <c r="R503" s="215" t="b">
        <f t="shared" si="60"/>
        <v>0</v>
      </c>
      <c r="S503" s="168">
        <f t="shared" si="89"/>
        <v>0</v>
      </c>
      <c r="T503" s="215"/>
      <c r="U503" s="168">
        <f t="shared" si="90"/>
        <v>0</v>
      </c>
      <c r="V503" s="168" t="b">
        <f>IF($BQ503&lt;=V$497,MATCH($BQ503,U$499:U$543,0))</f>
        <v>0</v>
      </c>
      <c r="W503" s="169">
        <f t="shared" si="91"/>
        <v>0</v>
      </c>
      <c r="X503" s="168">
        <f t="shared" si="92"/>
        <v>0</v>
      </c>
      <c r="Y503" s="168">
        <f t="shared" si="93"/>
        <v>0</v>
      </c>
      <c r="Z503" s="215">
        <f t="shared" si="94"/>
        <v>0</v>
      </c>
      <c r="AA503" s="169" t="b">
        <f t="shared" si="61"/>
        <v>0</v>
      </c>
      <c r="AB503" s="168" t="b">
        <f t="shared" si="62"/>
        <v>0</v>
      </c>
      <c r="AC503" s="168" t="b">
        <f t="shared" si="63"/>
        <v>0</v>
      </c>
      <c r="AD503" s="215" t="b">
        <f t="shared" si="64"/>
        <v>0</v>
      </c>
      <c r="AE503" s="349">
        <f ca="1">IF(AND(Elem!D11&lt;&gt;"",Elem!AO11=""),OFFSET(Spells!H$2,AA503,0),"")</f>
      </c>
      <c r="AF503" s="349">
        <f ca="1">IF(AND(Ill!D11&lt;&gt;"",Ill!AO11=""),OFFSET(Spells!R$2,AB503,0),"")</f>
      </c>
      <c r="AG503" s="349">
        <f ca="1">IF(AND(Neth!D11&lt;&gt;"",Neth!AO11=""),OFFSET(Spells!AB$2,AC503,0),"")</f>
      </c>
      <c r="AH503" s="319">
        <f ca="1">IF(AND(Wiz!D11&lt;&gt;"",Wiz!AO11=""),OFFSET(Spells!AL$2,AD503,0),"")</f>
      </c>
      <c r="AI503" s="170" t="str">
        <f t="shared" si="65"/>
        <v>Willpower</v>
      </c>
      <c r="AJ503" s="168">
        <f t="shared" si="66"/>
        <v>0</v>
      </c>
      <c r="AK503" s="168">
        <f ca="1" t="shared" si="67"/>
        <v>0</v>
      </c>
      <c r="AL503" s="168">
        <f t="shared" si="95"/>
        <v>0</v>
      </c>
      <c r="AM503" s="215" t="b">
        <f t="shared" si="68"/>
        <v>0</v>
      </c>
      <c r="AN503" s="170" t="str">
        <f t="shared" si="69"/>
        <v>Botany</v>
      </c>
      <c r="AO503" s="168">
        <f t="shared" si="70"/>
        <v>0</v>
      </c>
      <c r="AP503" s="168">
        <f ca="1" t="shared" si="96"/>
        <v>0</v>
      </c>
      <c r="AQ503" s="168" t="str">
        <f t="shared" si="71"/>
        <v>P</v>
      </c>
      <c r="AR503" s="168">
        <f t="shared" si="97"/>
        <v>0</v>
      </c>
      <c r="AS503" s="215" t="b">
        <f t="shared" si="72"/>
        <v>0</v>
      </c>
      <c r="AT503" s="170" t="s">
        <v>1720</v>
      </c>
      <c r="AU503" s="249">
        <f>MATCH(AT503,Talents!H$3:H$129)</f>
        <v>121</v>
      </c>
      <c r="AV503" s="249" t="s">
        <v>1727</v>
      </c>
      <c r="AW503" s="168">
        <f ca="1">IF(AU503,OFFSET(Talents!K$2,Build!AU503,0)," ")</f>
        <v>2</v>
      </c>
      <c r="AX503" s="168">
        <f ca="1">IF(AU503,OFFSET(Talents!J$2,Build!AU503,0)," ")</f>
        <v>7</v>
      </c>
      <c r="AY503" s="168">
        <f ca="1">IF(AU503,OFFSET(Talents!L$2,Build!AU503,0)," ")</f>
        <v>100</v>
      </c>
      <c r="AZ503" s="168" t="e">
        <f ca="1">VALUE(RIGHT("00"&amp;OFFSET(Front!Q$13,MATCH(AV503,Front!A$14:A$43,0),0),2))</f>
        <v>#N/A</v>
      </c>
      <c r="BA503" s="168">
        <f t="shared" si="98"/>
        <v>0</v>
      </c>
      <c r="BB503" s="168" t="b">
        <f t="shared" si="73"/>
        <v>0</v>
      </c>
      <c r="BC503" s="169">
        <f t="shared" si="99"/>
        <v>0</v>
      </c>
      <c r="BD503" s="168" t="b">
        <f t="shared" si="74"/>
        <v>0</v>
      </c>
      <c r="BE503" s="215">
        <f ca="1" t="shared" si="75"/>
        <v>0</v>
      </c>
      <c r="BF503" s="249" t="str">
        <f t="shared" si="76"/>
        <v> </v>
      </c>
      <c r="BG503" s="168">
        <f t="shared" si="77"/>
        <v>0</v>
      </c>
      <c r="BH503" s="168">
        <f t="shared" si="107"/>
        <v>0</v>
      </c>
      <c r="BI503" s="171">
        <f t="shared" si="100"/>
      </c>
      <c r="BJ503" s="327" t="s">
        <v>16</v>
      </c>
      <c r="BK503" s="168" t="e">
        <f t="shared" si="78"/>
        <v>#N/A</v>
      </c>
      <c r="BL503" s="168" t="e">
        <f ca="1" t="shared" si="79"/>
        <v>#N/A</v>
      </c>
      <c r="BM503" s="168">
        <f t="shared" si="101"/>
        <v>0</v>
      </c>
      <c r="BN503" s="168" t="b">
        <f t="shared" si="102"/>
        <v>0</v>
      </c>
      <c r="BO503" s="321" t="s">
        <v>1741</v>
      </c>
      <c r="BP503" s="321" t="e">
        <f t="shared" si="80"/>
        <v>#N/A</v>
      </c>
      <c r="BQ503" s="211">
        <f t="shared" si="108"/>
        <v>5</v>
      </c>
      <c r="BR503" s="249" t="str">
        <f t="shared" si="81"/>
        <v>Wealthy Traveler's Garb</v>
      </c>
      <c r="BS503" s="168">
        <f t="shared" si="82"/>
        <v>0</v>
      </c>
      <c r="BT503" s="168">
        <f t="shared" si="83"/>
        <v>40</v>
      </c>
      <c r="BU503" s="168" t="s">
        <v>2584</v>
      </c>
      <c r="BV503" s="249" t="e">
        <f t="shared" si="103"/>
        <v>#VALUE!</v>
      </c>
      <c r="BW503" s="249" t="str">
        <f t="shared" si="104"/>
        <v>Wealthy Traveler's Garb</v>
      </c>
      <c r="BX503" s="249" t="str">
        <f t="shared" si="105"/>
        <v> </v>
      </c>
      <c r="BY503" s="168">
        <f t="shared" si="109"/>
        <v>0</v>
      </c>
      <c r="BZ503" s="215" t="b">
        <f t="shared" si="106"/>
        <v>0</v>
      </c>
    </row>
    <row r="504" spans="2:78" ht="12.75">
      <c r="B504" s="137">
        <v>1</v>
      </c>
      <c r="C504" s="112" t="str">
        <f t="shared" si="54"/>
        <v> </v>
      </c>
      <c r="D504" s="112" t="str">
        <f t="shared" si="84"/>
        <v> </v>
      </c>
      <c r="E504" s="122">
        <f t="shared" si="55"/>
        <v>0</v>
      </c>
      <c r="F504" s="134">
        <f ca="1" t="shared" si="85"/>
        <v>0</v>
      </c>
      <c r="G504" s="122">
        <f>IF(C504&lt;&gt;" ",MATCH(D504,Talents!B$3:B$278,1),0)</f>
        <v>0</v>
      </c>
      <c r="H504" s="122" t="str">
        <f ca="1">IF(G504=0," ",OFFSET(Talents!C$2,G504,0))</f>
        <v> </v>
      </c>
      <c r="I504" s="122" t="str">
        <f ca="1">IF(G504=0," ",OFFSET(Talents!D$2,G504,0))</f>
        <v> </v>
      </c>
      <c r="J504" s="122" t="str">
        <f t="shared" si="86"/>
        <v> </v>
      </c>
      <c r="K504" s="122">
        <f t="shared" si="56"/>
        <v>0</v>
      </c>
      <c r="L504" s="122" t="str">
        <f t="shared" si="57"/>
        <v> </v>
      </c>
      <c r="M504" s="122" t="str">
        <f ca="1" t="shared" si="87"/>
        <v>-</v>
      </c>
      <c r="N504" s="112" t="b">
        <f t="shared" si="58"/>
        <v>0</v>
      </c>
      <c r="O504" s="122" t="str">
        <f ca="1">IF(G504&gt;0,IF(N504,"D",OFFSET(Talents!E$2,G504,0))&amp;OFFSET(Talents!F$2,G504,0)," ")</f>
        <v> </v>
      </c>
      <c r="P504" s="122" t="b">
        <f t="shared" si="59"/>
        <v>0</v>
      </c>
      <c r="Q504" s="169">
        <f t="shared" si="88"/>
        <v>0</v>
      </c>
      <c r="R504" s="215" t="b">
        <f t="shared" si="60"/>
        <v>0</v>
      </c>
      <c r="S504" s="168">
        <f t="shared" si="89"/>
        <v>0</v>
      </c>
      <c r="T504" s="215"/>
      <c r="U504" s="168">
        <f t="shared" si="90"/>
        <v>0</v>
      </c>
      <c r="V504" s="168"/>
      <c r="W504" s="169">
        <f t="shared" si="91"/>
        <v>0</v>
      </c>
      <c r="X504" s="168">
        <f t="shared" si="92"/>
        <v>0</v>
      </c>
      <c r="Y504" s="168">
        <f t="shared" si="93"/>
        <v>0</v>
      </c>
      <c r="Z504" s="215">
        <f t="shared" si="94"/>
        <v>0</v>
      </c>
      <c r="AA504" s="169" t="b">
        <f t="shared" si="61"/>
        <v>0</v>
      </c>
      <c r="AB504" s="168" t="b">
        <f t="shared" si="62"/>
        <v>0</v>
      </c>
      <c r="AC504" s="168" t="b">
        <f t="shared" si="63"/>
        <v>0</v>
      </c>
      <c r="AD504" s="215" t="b">
        <f t="shared" si="64"/>
        <v>0</v>
      </c>
      <c r="AE504" s="349">
        <f ca="1">IF(AND(Elem!D12&lt;&gt;"",Elem!AO12=""),OFFSET(Spells!H$2,AA504,0),"")</f>
      </c>
      <c r="AF504" s="349">
        <f ca="1">IF(AND(Ill!D12&lt;&gt;"",Ill!AO12=""),OFFSET(Spells!R$2,AB504,0),"")</f>
      </c>
      <c r="AG504" s="349">
        <f ca="1">IF(AND(Neth!D12&lt;&gt;"",Neth!AO12=""),OFFSET(Spells!AB$2,AC504,0),"")</f>
      </c>
      <c r="AH504" s="319">
        <f ca="1">IF(AND(Wiz!D12&lt;&gt;"",Wiz!AO12=""),OFFSET(Spells!AL$2,AD504,0),"")</f>
      </c>
      <c r="AI504" s="170" t="str">
        <f t="shared" si="65"/>
        <v>Charisma</v>
      </c>
      <c r="AJ504" s="168">
        <f t="shared" si="66"/>
        <v>0</v>
      </c>
      <c r="AK504" s="168">
        <f ca="1" t="shared" si="67"/>
        <v>0</v>
      </c>
      <c r="AL504" s="168">
        <f t="shared" si="95"/>
        <v>0</v>
      </c>
      <c r="AM504" s="215" t="b">
        <f t="shared" si="68"/>
        <v>0</v>
      </c>
      <c r="AN504" s="170" t="str">
        <f t="shared" si="69"/>
        <v>Creature Lore</v>
      </c>
      <c r="AO504" s="168">
        <f t="shared" si="70"/>
        <v>0</v>
      </c>
      <c r="AP504" s="168">
        <f ca="1" t="shared" si="96"/>
        <v>0</v>
      </c>
      <c r="AQ504" s="168" t="str">
        <f t="shared" si="71"/>
        <v>P</v>
      </c>
      <c r="AR504" s="168">
        <f t="shared" si="97"/>
        <v>0</v>
      </c>
      <c r="AS504" s="215" t="b">
        <f t="shared" si="72"/>
        <v>0</v>
      </c>
      <c r="AT504" s="170" t="e">
        <f aca="true" t="shared" si="110" ref="AT504:AT516">HLOOKUP(Dicipline1,knackfordic,BQ500)</f>
        <v>#N/A</v>
      </c>
      <c r="AU504" s="249" t="e">
        <f>IF(AT504&lt;&gt;" ",MATCH(AT504,Talents!H$3:H$129))</f>
        <v>#N/A</v>
      </c>
      <c r="AV504" s="249" t="e">
        <f ca="1">IF(AU504,OFFSET(Talents!I$2,Build!AU504,0)," ")</f>
        <v>#N/A</v>
      </c>
      <c r="AW504" s="168" t="e">
        <f ca="1">IF(AU504,OFFSET(Talents!K$2,Build!AU504,0)," ")</f>
        <v>#N/A</v>
      </c>
      <c r="AX504" s="168" t="e">
        <f ca="1">IF(AU504,OFFSET(Talents!J$2,Build!AU504,0)," ")</f>
        <v>#N/A</v>
      </c>
      <c r="AY504" s="168" t="e">
        <f ca="1">IF(AU504,OFFSET(Talents!L$2,Build!AU504,0)," ")</f>
        <v>#N/A</v>
      </c>
      <c r="AZ504" s="168" t="e">
        <f ca="1">VALUE(RIGHT("00"&amp;OFFSET(Front!Q$13,MATCH(AV504,Front!A$14:A$43,0),0),2))</f>
        <v>#N/A</v>
      </c>
      <c r="BA504" s="168">
        <f t="shared" si="98"/>
        <v>0</v>
      </c>
      <c r="BB504" s="168" t="b">
        <f t="shared" si="73"/>
        <v>0</v>
      </c>
      <c r="BC504" s="169">
        <f t="shared" si="99"/>
        <v>0</v>
      </c>
      <c r="BD504" s="168" t="b">
        <f t="shared" si="74"/>
        <v>0</v>
      </c>
      <c r="BE504" s="215">
        <f ca="1" t="shared" si="75"/>
        <v>0</v>
      </c>
      <c r="BF504" s="249" t="str">
        <f t="shared" si="76"/>
        <v> </v>
      </c>
      <c r="BG504" s="168">
        <f t="shared" si="77"/>
        <v>0</v>
      </c>
      <c r="BH504" s="168">
        <f t="shared" si="107"/>
        <v>0</v>
      </c>
      <c r="BI504" s="171">
        <f t="shared" si="100"/>
      </c>
      <c r="BJ504" s="327" t="s">
        <v>38</v>
      </c>
      <c r="BK504" s="168" t="e">
        <f t="shared" si="78"/>
        <v>#N/A</v>
      </c>
      <c r="BL504" s="168" t="e">
        <f ca="1" t="shared" si="79"/>
        <v>#N/A</v>
      </c>
      <c r="BM504" s="168">
        <f t="shared" si="101"/>
        <v>0</v>
      </c>
      <c r="BN504" s="168" t="b">
        <f t="shared" si="102"/>
        <v>0</v>
      </c>
      <c r="BO504" s="321" t="s">
        <v>1741</v>
      </c>
      <c r="BP504" s="321" t="e">
        <f t="shared" si="80"/>
        <v>#N/A</v>
      </c>
      <c r="BQ504" s="211">
        <f t="shared" si="108"/>
        <v>6</v>
      </c>
      <c r="BR504" s="249" t="str">
        <f t="shared" si="81"/>
        <v>Wealthy Traveler's Robes</v>
      </c>
      <c r="BS504" s="168">
        <f t="shared" si="82"/>
        <v>0</v>
      </c>
      <c r="BT504" s="168">
        <f t="shared" si="83"/>
        <v>50</v>
      </c>
      <c r="BU504" s="168" t="s">
        <v>2584</v>
      </c>
      <c r="BV504" s="249" t="e">
        <f t="shared" si="103"/>
        <v>#VALUE!</v>
      </c>
      <c r="BW504" s="249" t="str">
        <f t="shared" si="104"/>
        <v>Wealthy Traveler's Robes</v>
      </c>
      <c r="BX504" s="249" t="str">
        <f t="shared" si="105"/>
        <v> </v>
      </c>
      <c r="BY504" s="168">
        <f t="shared" si="109"/>
        <v>0</v>
      </c>
      <c r="BZ504" s="215" t="b">
        <f t="shared" si="106"/>
        <v>0</v>
      </c>
    </row>
    <row r="505" spans="2:78" ht="12.75">
      <c r="B505" s="137">
        <v>1</v>
      </c>
      <c r="C505" s="112" t="str">
        <f t="shared" si="54"/>
        <v> </v>
      </c>
      <c r="D505" s="112" t="str">
        <f t="shared" si="84"/>
        <v> </v>
      </c>
      <c r="E505" s="122">
        <f t="shared" si="55"/>
        <v>0</v>
      </c>
      <c r="F505" s="134">
        <f ca="1" t="shared" si="85"/>
        <v>0</v>
      </c>
      <c r="G505" s="122">
        <f>IF(C505&lt;&gt;" ",MATCH(D505,Talents!B$3:B$278,1),0)</f>
        <v>0</v>
      </c>
      <c r="H505" s="122" t="str">
        <f ca="1">IF(G505=0," ",OFFSET(Talents!C$2,G505,0))</f>
        <v> </v>
      </c>
      <c r="I505" s="122" t="str">
        <f ca="1">IF(G505=0," ",OFFSET(Talents!D$2,G505,0))</f>
        <v> </v>
      </c>
      <c r="J505" s="122" t="str">
        <f t="shared" si="86"/>
        <v> </v>
      </c>
      <c r="K505" s="122">
        <f t="shared" si="56"/>
        <v>0</v>
      </c>
      <c r="L505" s="122" t="str">
        <f t="shared" si="57"/>
        <v> </v>
      </c>
      <c r="M505" s="122" t="str">
        <f ca="1" t="shared" si="87"/>
        <v>-</v>
      </c>
      <c r="N505" s="112" t="b">
        <f t="shared" si="58"/>
        <v>0</v>
      </c>
      <c r="O505" s="122" t="str">
        <f ca="1">IF(G505&gt;0,IF(N505,"D",OFFSET(Talents!E$2,G505,0))&amp;OFFSET(Talents!F$2,G505,0)," ")</f>
        <v> </v>
      </c>
      <c r="P505" s="122" t="b">
        <f t="shared" si="59"/>
        <v>0</v>
      </c>
      <c r="Q505" s="169">
        <f t="shared" si="88"/>
        <v>0</v>
      </c>
      <c r="R505" s="215" t="b">
        <f t="shared" si="60"/>
        <v>0</v>
      </c>
      <c r="S505" s="168">
        <f t="shared" si="89"/>
        <v>0</v>
      </c>
      <c r="T505" s="215"/>
      <c r="U505" s="168">
        <f t="shared" si="90"/>
        <v>0</v>
      </c>
      <c r="V505" s="168"/>
      <c r="W505" s="169">
        <f t="shared" si="91"/>
        <v>0</v>
      </c>
      <c r="X505" s="168">
        <f t="shared" si="92"/>
        <v>0</v>
      </c>
      <c r="Y505" s="168">
        <f t="shared" si="93"/>
        <v>0</v>
      </c>
      <c r="Z505" s="215">
        <f t="shared" si="94"/>
        <v>0</v>
      </c>
      <c r="AA505" s="169" t="b">
        <f t="shared" si="61"/>
        <v>0</v>
      </c>
      <c r="AB505" s="168" t="b">
        <f t="shared" si="62"/>
        <v>0</v>
      </c>
      <c r="AC505" s="168" t="b">
        <f t="shared" si="63"/>
        <v>0</v>
      </c>
      <c r="AD505" s="215" t="b">
        <f t="shared" si="64"/>
        <v>0</v>
      </c>
      <c r="AE505" s="349">
        <f ca="1">IF(AND(Elem!D13&lt;&gt;"",Elem!AO13=""),OFFSET(Spells!H$2,AA505,0),"")</f>
      </c>
      <c r="AF505" s="349">
        <f ca="1">IF(AND(Ill!D13&lt;&gt;"",Ill!AO13=""),OFFSET(Spells!R$2,AB505,0),"")</f>
      </c>
      <c r="AG505" s="349">
        <f ca="1">IF(AND(Neth!D13&lt;&gt;"",Neth!AO13=""),OFFSET(Spells!AB$2,AC505,0),"")</f>
      </c>
      <c r="AH505" s="319">
        <f ca="1">IF(AND(Wiz!D13&lt;&gt;"",Wiz!AO13=""),OFFSET(Spells!AL$2,AD505,0),"")</f>
      </c>
      <c r="AI505" s="170" t="str">
        <f t="shared" si="65"/>
        <v>Physical Def.</v>
      </c>
      <c r="AJ505" s="168">
        <f t="shared" si="66"/>
        <v>0</v>
      </c>
      <c r="AK505" s="168">
        <f ca="1" t="shared" si="67"/>
        <v>0</v>
      </c>
      <c r="AL505" s="168">
        <f t="shared" si="95"/>
        <v>0</v>
      </c>
      <c r="AM505" s="215" t="b">
        <f t="shared" si="68"/>
        <v>0</v>
      </c>
      <c r="AN505" s="170" t="str">
        <f t="shared" si="69"/>
        <v>Dwarven Military Orders</v>
      </c>
      <c r="AO505" s="168">
        <f t="shared" si="70"/>
        <v>0</v>
      </c>
      <c r="AP505" s="168">
        <f ca="1" t="shared" si="96"/>
        <v>0</v>
      </c>
      <c r="AQ505" s="168" t="str">
        <f t="shared" si="71"/>
        <v>P</v>
      </c>
      <c r="AR505" s="168">
        <f t="shared" si="97"/>
        <v>0</v>
      </c>
      <c r="AS505" s="215" t="b">
        <f t="shared" si="72"/>
        <v>0</v>
      </c>
      <c r="AT505" s="170" t="e">
        <f t="shared" si="110"/>
        <v>#N/A</v>
      </c>
      <c r="AU505" s="249" t="e">
        <f>IF(AT505&lt;&gt;" ",MATCH(AT505,Talents!H$3:H$129))</f>
        <v>#N/A</v>
      </c>
      <c r="AV505" s="249" t="e">
        <f ca="1">IF(AU505,OFFSET(Talents!I$2,Build!AU505,0)," ")</f>
        <v>#N/A</v>
      </c>
      <c r="AW505" s="168" t="e">
        <f ca="1">IF(AU505,OFFSET(Talents!K$2,Build!AU505,0)," ")</f>
        <v>#N/A</v>
      </c>
      <c r="AX505" s="168" t="e">
        <f ca="1">IF(AU505,OFFSET(Talents!J$2,Build!AU505,0)," ")</f>
        <v>#N/A</v>
      </c>
      <c r="AY505" s="168" t="e">
        <f ca="1">IF(AU505,OFFSET(Talents!L$2,Build!AU505,0)," ")</f>
        <v>#N/A</v>
      </c>
      <c r="AZ505" s="168" t="e">
        <f ca="1">VALUE(RIGHT("00"&amp;OFFSET(Front!Q$13,MATCH(AV505,Front!A$14:A$43,0),0),2))</f>
        <v>#N/A</v>
      </c>
      <c r="BA505" s="168">
        <f t="shared" si="98"/>
        <v>0</v>
      </c>
      <c r="BB505" s="168" t="b">
        <f t="shared" si="73"/>
        <v>0</v>
      </c>
      <c r="BC505" s="169">
        <f t="shared" si="99"/>
        <v>0</v>
      </c>
      <c r="BD505" s="168" t="b">
        <f t="shared" si="74"/>
        <v>0</v>
      </c>
      <c r="BE505" s="215">
        <f ca="1" t="shared" si="75"/>
        <v>0</v>
      </c>
      <c r="BF505" s="249" t="str">
        <f t="shared" si="76"/>
        <v> </v>
      </c>
      <c r="BG505" s="168">
        <f t="shared" si="77"/>
        <v>0</v>
      </c>
      <c r="BH505" s="168">
        <f t="shared" si="107"/>
        <v>0</v>
      </c>
      <c r="BI505" s="171">
        <f t="shared" si="100"/>
      </c>
      <c r="BJ505" s="327" t="s">
        <v>62</v>
      </c>
      <c r="BK505" s="168" t="e">
        <f t="shared" si="78"/>
        <v>#N/A</v>
      </c>
      <c r="BL505" s="168" t="e">
        <f ca="1" t="shared" si="79"/>
        <v>#N/A</v>
      </c>
      <c r="BM505" s="168">
        <f t="shared" si="101"/>
        <v>0</v>
      </c>
      <c r="BN505" s="168" t="b">
        <f t="shared" si="102"/>
        <v>0</v>
      </c>
      <c r="BO505" s="321" t="s">
        <v>1742</v>
      </c>
      <c r="BP505" s="321" t="e">
        <f t="shared" si="80"/>
        <v>#N/A</v>
      </c>
      <c r="BQ505" s="211">
        <f t="shared" si="108"/>
        <v>7</v>
      </c>
      <c r="BR505" s="249" t="str">
        <f t="shared" si="81"/>
        <v>Belt</v>
      </c>
      <c r="BS505" s="168">
        <f t="shared" si="82"/>
        <v>0</v>
      </c>
      <c r="BT505" s="168">
        <f t="shared" si="83"/>
        <v>0.5</v>
      </c>
      <c r="BU505" s="168" t="s">
        <v>2584</v>
      </c>
      <c r="BV505" s="249" t="e">
        <f t="shared" si="103"/>
        <v>#VALUE!</v>
      </c>
      <c r="BW505" s="249" t="str">
        <f t="shared" si="104"/>
        <v>Belt</v>
      </c>
      <c r="BX505" s="249" t="str">
        <f t="shared" si="105"/>
        <v> </v>
      </c>
      <c r="BY505" s="168">
        <f t="shared" si="109"/>
        <v>0</v>
      </c>
      <c r="BZ505" s="215" t="b">
        <f t="shared" si="106"/>
        <v>0</v>
      </c>
    </row>
    <row r="506" spans="2:78" ht="12.75">
      <c r="B506" s="137">
        <v>2</v>
      </c>
      <c r="C506" s="112" t="str">
        <f t="shared" si="54"/>
        <v> </v>
      </c>
      <c r="D506" s="112" t="str">
        <f t="shared" si="84"/>
        <v> </v>
      </c>
      <c r="E506" s="122">
        <f t="shared" si="55"/>
        <v>0</v>
      </c>
      <c r="F506" s="134">
        <f ca="1" t="shared" si="85"/>
        <v>0</v>
      </c>
      <c r="G506" s="122">
        <f>IF(C506&lt;&gt;" ",MATCH(D506,Talents!B$3:B$278,1),0)</f>
        <v>0</v>
      </c>
      <c r="H506" s="122" t="str">
        <f ca="1">IF(G506=0," ",OFFSET(Talents!C$2,G506,0))</f>
        <v> </v>
      </c>
      <c r="I506" s="122" t="str">
        <f ca="1">IF(G506=0," ",OFFSET(Talents!D$2,G506,0))</f>
        <v> </v>
      </c>
      <c r="J506" s="122" t="str">
        <f t="shared" si="86"/>
        <v> </v>
      </c>
      <c r="K506" s="122">
        <f t="shared" si="56"/>
        <v>0</v>
      </c>
      <c r="L506" s="122" t="str">
        <f t="shared" si="57"/>
        <v> </v>
      </c>
      <c r="M506" s="122" t="str">
        <f ca="1" t="shared" si="87"/>
        <v>-</v>
      </c>
      <c r="N506" s="112" t="b">
        <f t="shared" si="58"/>
        <v>0</v>
      </c>
      <c r="O506" s="122" t="str">
        <f ca="1">IF(G506&gt;0,IF(N506,"D",OFFSET(Talents!E$2,G506,0))&amp;OFFSET(Talents!F$2,G506,0)," ")</f>
        <v> </v>
      </c>
      <c r="P506" s="122" t="b">
        <f t="shared" si="59"/>
        <v>0</v>
      </c>
      <c r="Q506" s="169">
        <f t="shared" si="88"/>
        <v>0</v>
      </c>
      <c r="R506" s="215" t="b">
        <f t="shared" si="60"/>
        <v>0</v>
      </c>
      <c r="S506" s="168">
        <f t="shared" si="89"/>
        <v>0</v>
      </c>
      <c r="T506" s="215"/>
      <c r="U506" s="168">
        <f t="shared" si="90"/>
        <v>0</v>
      </c>
      <c r="V506" s="168"/>
      <c r="W506" s="169">
        <f t="shared" si="91"/>
        <v>0</v>
      </c>
      <c r="X506" s="168">
        <f t="shared" si="92"/>
        <v>0</v>
      </c>
      <c r="Y506" s="168">
        <f t="shared" si="93"/>
        <v>0</v>
      </c>
      <c r="Z506" s="215">
        <f t="shared" si="94"/>
        <v>0</v>
      </c>
      <c r="AA506" s="169" t="b">
        <f t="shared" si="61"/>
        <v>0</v>
      </c>
      <c r="AB506" s="168" t="b">
        <f t="shared" si="62"/>
        <v>0</v>
      </c>
      <c r="AC506" s="168" t="b">
        <f t="shared" si="63"/>
        <v>0</v>
      </c>
      <c r="AD506" s="215" t="b">
        <f t="shared" si="64"/>
        <v>0</v>
      </c>
      <c r="AE506" s="349">
        <f ca="1">IF(AND(Elem!D14&lt;&gt;"",Elem!AO14=""),OFFSET(Spells!H$2,AA506,0),"")</f>
      </c>
      <c r="AF506" s="349">
        <f ca="1">IF(AND(Ill!D14&lt;&gt;"",Ill!AO14=""),OFFSET(Spells!R$2,AB506,0),"")</f>
      </c>
      <c r="AG506" s="349">
        <f ca="1">IF(AND(Neth!D14&lt;&gt;"",Neth!AO14=""),OFFSET(Spells!AB$2,AC506,0),"")</f>
      </c>
      <c r="AH506" s="319">
        <f ca="1">IF(AND(Wiz!D14&lt;&gt;"",Wiz!AO14=""),OFFSET(Spells!AL$2,AD506,0),"")</f>
      </c>
      <c r="AI506" s="170" t="str">
        <f t="shared" si="65"/>
        <v>Spell Defense</v>
      </c>
      <c r="AJ506" s="168">
        <f t="shared" si="66"/>
        <v>0</v>
      </c>
      <c r="AK506" s="168">
        <f ca="1" t="shared" si="67"/>
        <v>0</v>
      </c>
      <c r="AL506" s="168">
        <f t="shared" si="95"/>
        <v>0</v>
      </c>
      <c r="AM506" s="215" t="b">
        <f t="shared" si="68"/>
        <v>0</v>
      </c>
      <c r="AN506" s="170" t="str">
        <f t="shared" si="69"/>
        <v>Horror Lore</v>
      </c>
      <c r="AO506" s="168">
        <f t="shared" si="70"/>
        <v>0</v>
      </c>
      <c r="AP506" s="168">
        <f ca="1" t="shared" si="96"/>
        <v>0</v>
      </c>
      <c r="AQ506" s="168" t="str">
        <f t="shared" si="71"/>
        <v>P</v>
      </c>
      <c r="AR506" s="168">
        <f t="shared" si="97"/>
        <v>0</v>
      </c>
      <c r="AS506" s="215" t="b">
        <f t="shared" si="72"/>
        <v>0</v>
      </c>
      <c r="AT506" s="170" t="e">
        <f t="shared" si="110"/>
        <v>#N/A</v>
      </c>
      <c r="AU506" s="249" t="e">
        <f>IF(AT506&lt;&gt;" ",MATCH(AT506,Talents!H$3:H$129))</f>
        <v>#N/A</v>
      </c>
      <c r="AV506" s="249" t="e">
        <f ca="1">IF(AU506,OFFSET(Talents!I$2,Build!AU506,0)," ")</f>
        <v>#N/A</v>
      </c>
      <c r="AW506" s="168" t="e">
        <f ca="1">IF(AU506,OFFSET(Talents!K$2,Build!AU506,0)," ")</f>
        <v>#N/A</v>
      </c>
      <c r="AX506" s="168" t="e">
        <f ca="1">IF(AU506,OFFSET(Talents!J$2,Build!AU506,0)," ")</f>
        <v>#N/A</v>
      </c>
      <c r="AY506" s="168" t="e">
        <f ca="1">IF(AU506,OFFSET(Talents!L$2,Build!AU506,0)," ")</f>
        <v>#N/A</v>
      </c>
      <c r="AZ506" s="168" t="e">
        <f ca="1">VALUE(RIGHT("00"&amp;OFFSET(Front!Q$13,MATCH(AV506,Front!A$14:A$43,0),0),2))</f>
        <v>#N/A</v>
      </c>
      <c r="BA506" s="168">
        <f t="shared" si="98"/>
        <v>0</v>
      </c>
      <c r="BB506" s="168" t="b">
        <f t="shared" si="73"/>
        <v>0</v>
      </c>
      <c r="BC506" s="169">
        <f t="shared" si="99"/>
        <v>0</v>
      </c>
      <c r="BD506" s="168" t="b">
        <f t="shared" si="74"/>
        <v>0</v>
      </c>
      <c r="BE506" s="215">
        <f ca="1" t="shared" si="75"/>
        <v>0</v>
      </c>
      <c r="BF506" s="249" t="str">
        <f t="shared" si="76"/>
        <v> </v>
      </c>
      <c r="BG506" s="168">
        <f t="shared" si="77"/>
        <v>0</v>
      </c>
      <c r="BH506" s="168">
        <f t="shared" si="107"/>
        <v>0</v>
      </c>
      <c r="BI506" s="171">
        <f t="shared" si="100"/>
      </c>
      <c r="BJ506" s="327" t="s">
        <v>103</v>
      </c>
      <c r="BK506" s="168" t="e">
        <f t="shared" si="78"/>
        <v>#N/A</v>
      </c>
      <c r="BL506" s="168" t="e">
        <f ca="1" t="shared" si="79"/>
        <v>#N/A</v>
      </c>
      <c r="BM506" s="168">
        <f t="shared" si="101"/>
        <v>0</v>
      </c>
      <c r="BN506" s="168" t="b">
        <f t="shared" si="102"/>
        <v>0</v>
      </c>
      <c r="BO506" s="321" t="s">
        <v>1742</v>
      </c>
      <c r="BP506" s="321" t="e">
        <f t="shared" si="80"/>
        <v>#N/A</v>
      </c>
      <c r="BQ506" s="211">
        <f t="shared" si="108"/>
        <v>8</v>
      </c>
      <c r="BR506" s="249" t="str">
        <f t="shared" si="81"/>
        <v>Boots, Soft</v>
      </c>
      <c r="BS506" s="168">
        <f t="shared" si="82"/>
        <v>0</v>
      </c>
      <c r="BT506" s="168">
        <f t="shared" si="83"/>
        <v>1</v>
      </c>
      <c r="BU506" s="168" t="s">
        <v>2584</v>
      </c>
      <c r="BV506" s="249">
        <f t="shared" si="103"/>
        <v>6</v>
      </c>
      <c r="BW506" s="249" t="str">
        <f t="shared" si="104"/>
        <v>Soft Boots</v>
      </c>
      <c r="BX506" s="249" t="str">
        <f t="shared" si="105"/>
        <v> </v>
      </c>
      <c r="BY506" s="168">
        <f t="shared" si="109"/>
        <v>0</v>
      </c>
      <c r="BZ506" s="215" t="b">
        <f t="shared" si="106"/>
        <v>0</v>
      </c>
    </row>
    <row r="507" spans="2:78" ht="12.75">
      <c r="B507" s="137">
        <v>2</v>
      </c>
      <c r="C507" s="112" t="str">
        <f t="shared" si="54"/>
        <v> </v>
      </c>
      <c r="D507" s="112" t="str">
        <f t="shared" si="84"/>
        <v> </v>
      </c>
      <c r="E507" s="122">
        <f t="shared" si="55"/>
        <v>0</v>
      </c>
      <c r="F507" s="134">
        <f ca="1" t="shared" si="85"/>
        <v>0</v>
      </c>
      <c r="G507" s="122">
        <f>IF(C507&lt;&gt;" ",MATCH(D507,Talents!B$3:B$278,1),0)</f>
        <v>0</v>
      </c>
      <c r="H507" s="122" t="str">
        <f ca="1">IF(G507=0," ",OFFSET(Talents!C$2,G507,0))</f>
        <v> </v>
      </c>
      <c r="I507" s="122" t="str">
        <f ca="1">IF(G507=0," ",OFFSET(Talents!D$2,G507,0))</f>
        <v> </v>
      </c>
      <c r="J507" s="122" t="str">
        <f t="shared" si="86"/>
        <v> </v>
      </c>
      <c r="K507" s="122">
        <f t="shared" si="56"/>
        <v>0</v>
      </c>
      <c r="L507" s="122" t="str">
        <f t="shared" si="57"/>
        <v> </v>
      </c>
      <c r="M507" s="122" t="str">
        <f ca="1" t="shared" si="87"/>
        <v>-</v>
      </c>
      <c r="N507" s="112" t="b">
        <f t="shared" si="58"/>
        <v>0</v>
      </c>
      <c r="O507" s="122" t="str">
        <f ca="1">IF(G507&gt;0,IF(N507,"D",OFFSET(Talents!E$2,G507,0))&amp;OFFSET(Talents!F$2,G507,0)," ")</f>
        <v> </v>
      </c>
      <c r="P507" s="122" t="b">
        <f t="shared" si="59"/>
        <v>0</v>
      </c>
      <c r="Q507" s="169">
        <f t="shared" si="88"/>
        <v>0</v>
      </c>
      <c r="R507" s="215" t="b">
        <f t="shared" si="60"/>
        <v>0</v>
      </c>
      <c r="S507" s="168">
        <f t="shared" si="89"/>
        <v>0</v>
      </c>
      <c r="T507" s="215"/>
      <c r="U507" s="168">
        <f t="shared" si="90"/>
        <v>0</v>
      </c>
      <c r="V507" s="168"/>
      <c r="W507" s="169">
        <f t="shared" si="91"/>
        <v>0</v>
      </c>
      <c r="X507" s="168">
        <f t="shared" si="92"/>
        <v>0</v>
      </c>
      <c r="Y507" s="168">
        <f t="shared" si="93"/>
        <v>0</v>
      </c>
      <c r="Z507" s="215">
        <f t="shared" si="94"/>
        <v>0</v>
      </c>
      <c r="AA507" s="169" t="b">
        <f t="shared" si="61"/>
        <v>0</v>
      </c>
      <c r="AB507" s="168" t="b">
        <f t="shared" si="62"/>
        <v>0</v>
      </c>
      <c r="AC507" s="168" t="b">
        <f t="shared" si="63"/>
        <v>0</v>
      </c>
      <c r="AD507" s="215" t="b">
        <f t="shared" si="64"/>
        <v>0</v>
      </c>
      <c r="AE507" s="349">
        <f ca="1">IF(AND(Elem!D15&lt;&gt;"",Elem!AO15=""),OFFSET(Spells!H$2,AA507,0),"")</f>
      </c>
      <c r="AF507" s="349">
        <f ca="1">IF(AND(Ill!D15&lt;&gt;"",Ill!AO15=""),OFFSET(Spells!R$2,AB507,0),"")</f>
      </c>
      <c r="AG507" s="349">
        <f ca="1">IF(AND(Neth!D15&lt;&gt;"",Neth!AO15=""),OFFSET(Spells!AB$2,AC507,0),"")</f>
      </c>
      <c r="AH507" s="319">
        <f ca="1">IF(AND(Wiz!D15&lt;&gt;"",Wiz!AO15=""),OFFSET(Spells!AL$2,AD507,0),"")</f>
      </c>
      <c r="AI507" s="170" t="str">
        <f t="shared" si="65"/>
        <v>Social Defense</v>
      </c>
      <c r="AJ507" s="168">
        <f t="shared" si="66"/>
        <v>0</v>
      </c>
      <c r="AK507" s="168">
        <f ca="1" t="shared" si="67"/>
        <v>0</v>
      </c>
      <c r="AL507" s="168">
        <f t="shared" si="95"/>
        <v>0</v>
      </c>
      <c r="AM507" s="215" t="b">
        <f t="shared" si="68"/>
        <v>0</v>
      </c>
      <c r="AN507" s="170" t="str">
        <f t="shared" si="69"/>
        <v>Legends &amp; Heroes</v>
      </c>
      <c r="AO507" s="168">
        <f t="shared" si="70"/>
        <v>0</v>
      </c>
      <c r="AP507" s="168">
        <f ca="1" t="shared" si="96"/>
        <v>0</v>
      </c>
      <c r="AQ507" s="168" t="str">
        <f t="shared" si="71"/>
        <v>P</v>
      </c>
      <c r="AR507" s="168">
        <f t="shared" si="97"/>
        <v>0</v>
      </c>
      <c r="AS507" s="215" t="b">
        <f t="shared" si="72"/>
        <v>0</v>
      </c>
      <c r="AT507" s="170" t="e">
        <f t="shared" si="110"/>
        <v>#N/A</v>
      </c>
      <c r="AU507" s="249" t="e">
        <f>IF(AT507&lt;&gt;" ",MATCH(AT507,Talents!H$3:H$129))</f>
        <v>#N/A</v>
      </c>
      <c r="AV507" s="249" t="e">
        <f ca="1">IF(AU507,OFFSET(Talents!I$2,Build!AU507,0)," ")</f>
        <v>#N/A</v>
      </c>
      <c r="AW507" s="168" t="e">
        <f ca="1">IF(AU507,OFFSET(Talents!K$2,Build!AU507,0)," ")</f>
        <v>#N/A</v>
      </c>
      <c r="AX507" s="168" t="e">
        <f ca="1">IF(AU507,OFFSET(Talents!J$2,Build!AU507,0)," ")</f>
        <v>#N/A</v>
      </c>
      <c r="AY507" s="168" t="e">
        <f ca="1">IF(AU507,OFFSET(Talents!L$2,Build!AU507,0)," ")</f>
        <v>#N/A</v>
      </c>
      <c r="AZ507" s="168" t="e">
        <f ca="1">VALUE(RIGHT("00"&amp;OFFSET(Front!Q$13,MATCH(AV507,Front!A$14:A$43,0),0),2))</f>
        <v>#N/A</v>
      </c>
      <c r="BA507" s="168">
        <f t="shared" si="98"/>
        <v>0</v>
      </c>
      <c r="BB507" s="168" t="b">
        <f t="shared" si="73"/>
        <v>0</v>
      </c>
      <c r="BC507" s="169">
        <f t="shared" si="99"/>
        <v>0</v>
      </c>
      <c r="BD507" s="168" t="b">
        <f t="shared" si="74"/>
        <v>0</v>
      </c>
      <c r="BE507" s="215">
        <f ca="1" t="shared" si="75"/>
        <v>0</v>
      </c>
      <c r="BF507" s="249" t="str">
        <f t="shared" si="76"/>
        <v> </v>
      </c>
      <c r="BG507" s="168">
        <f t="shared" si="77"/>
        <v>0</v>
      </c>
      <c r="BH507" s="168">
        <f t="shared" si="107"/>
        <v>0</v>
      </c>
      <c r="BI507" s="171">
        <f t="shared" si="100"/>
      </c>
      <c r="BJ507" s="327" t="s">
        <v>121</v>
      </c>
      <c r="BK507" s="168" t="e">
        <f t="shared" si="78"/>
        <v>#N/A</v>
      </c>
      <c r="BL507" s="168" t="e">
        <f ca="1" t="shared" si="79"/>
        <v>#N/A</v>
      </c>
      <c r="BM507" s="168">
        <f t="shared" si="101"/>
        <v>0</v>
      </c>
      <c r="BN507" s="168" t="b">
        <f t="shared" si="102"/>
        <v>0</v>
      </c>
      <c r="BO507" s="321" t="s">
        <v>1742</v>
      </c>
      <c r="BP507" s="321" t="e">
        <f t="shared" si="80"/>
        <v>#N/A</v>
      </c>
      <c r="BQ507" s="211">
        <f t="shared" si="108"/>
        <v>9</v>
      </c>
      <c r="BR507" s="249" t="str">
        <f t="shared" si="81"/>
        <v>Boots, Riding</v>
      </c>
      <c r="BS507" s="168">
        <f t="shared" si="82"/>
        <v>0</v>
      </c>
      <c r="BT507" s="168">
        <f t="shared" si="83"/>
        <v>4</v>
      </c>
      <c r="BU507" s="168" t="s">
        <v>2584</v>
      </c>
      <c r="BV507" s="249">
        <f t="shared" si="103"/>
        <v>6</v>
      </c>
      <c r="BW507" s="249" t="str">
        <f t="shared" si="104"/>
        <v>Riding Boots</v>
      </c>
      <c r="BX507" s="249" t="str">
        <f t="shared" si="105"/>
        <v> </v>
      </c>
      <c r="BY507" s="168">
        <f t="shared" si="109"/>
        <v>0</v>
      </c>
      <c r="BZ507" s="215" t="b">
        <f t="shared" si="106"/>
        <v>0</v>
      </c>
    </row>
    <row r="508" spans="2:78" ht="12.75">
      <c r="B508" s="130">
        <v>2</v>
      </c>
      <c r="C508" s="112" t="str">
        <f t="shared" si="54"/>
        <v> </v>
      </c>
      <c r="D508" s="112" t="str">
        <f t="shared" si="84"/>
        <v> </v>
      </c>
      <c r="E508" s="122">
        <f t="shared" si="55"/>
        <v>0</v>
      </c>
      <c r="F508" s="134">
        <f ca="1" t="shared" si="85"/>
        <v>0</v>
      </c>
      <c r="G508" s="122">
        <f>IF(C508&lt;&gt;" ",MATCH(D508,Talents!B$3:B$278,1),0)</f>
        <v>0</v>
      </c>
      <c r="H508" s="122" t="str">
        <f ca="1">IF(G508=0," ",OFFSET(Talents!C$2,G508,0))</f>
        <v> </v>
      </c>
      <c r="I508" s="122" t="str">
        <f ca="1">IF(G508=0," ",OFFSET(Talents!D$2,G508,0))</f>
        <v> </v>
      </c>
      <c r="J508" s="122" t="str">
        <f t="shared" si="86"/>
        <v> </v>
      </c>
      <c r="K508" s="122">
        <f t="shared" si="56"/>
        <v>0</v>
      </c>
      <c r="L508" s="122" t="str">
        <f t="shared" si="57"/>
        <v> </v>
      </c>
      <c r="M508" s="122" t="str">
        <f ca="1" t="shared" si="87"/>
        <v>-</v>
      </c>
      <c r="N508" s="114" t="b">
        <f t="shared" si="58"/>
        <v>0</v>
      </c>
      <c r="O508" s="122" t="str">
        <f ca="1">IF(G508&gt;0,IF(N508,"D",OFFSET(Talents!E$2,G508,0))&amp;OFFSET(Talents!F$2,G508,0)," ")</f>
        <v> </v>
      </c>
      <c r="P508" s="122" t="b">
        <f t="shared" si="59"/>
        <v>0</v>
      </c>
      <c r="Q508" s="169">
        <f t="shared" si="88"/>
        <v>0</v>
      </c>
      <c r="R508" s="215" t="b">
        <f t="shared" si="60"/>
        <v>0</v>
      </c>
      <c r="S508" s="168">
        <f t="shared" si="89"/>
        <v>0</v>
      </c>
      <c r="T508" s="215"/>
      <c r="U508" s="168">
        <f t="shared" si="90"/>
        <v>0</v>
      </c>
      <c r="V508" s="168"/>
      <c r="W508" s="169">
        <f t="shared" si="91"/>
        <v>0</v>
      </c>
      <c r="X508" s="168">
        <f t="shared" si="92"/>
        <v>0</v>
      </c>
      <c r="Y508" s="168">
        <f t="shared" si="93"/>
        <v>0</v>
      </c>
      <c r="Z508" s="215">
        <f t="shared" si="94"/>
        <v>0</v>
      </c>
      <c r="AA508" s="169" t="b">
        <f t="shared" si="61"/>
        <v>0</v>
      </c>
      <c r="AB508" s="168" t="b">
        <f t="shared" si="62"/>
        <v>0</v>
      </c>
      <c r="AC508" s="168" t="b">
        <f t="shared" si="63"/>
        <v>0</v>
      </c>
      <c r="AD508" s="215" t="b">
        <f t="shared" si="64"/>
        <v>0</v>
      </c>
      <c r="AE508" s="349">
        <f ca="1">IF(AND(Elem!D16&lt;&gt;"",Elem!AO16=""),OFFSET(Spells!H$2,AA508,0),"")</f>
      </c>
      <c r="AF508" s="349">
        <f ca="1">IF(AND(Ill!D16&lt;&gt;"",Ill!AO16=""),OFFSET(Spells!R$2,AB508,0),"")</f>
      </c>
      <c r="AG508" s="349">
        <f ca="1">IF(AND(Neth!D16&lt;&gt;"",Neth!AO16=""),OFFSET(Spells!AB$2,AC508,0),"")</f>
      </c>
      <c r="AH508" s="319">
        <f ca="1">IF(AND(Wiz!D16&lt;&gt;"",Wiz!AO16=""),OFFSET(Spells!AL$2,AD508,0),"")</f>
      </c>
      <c r="AI508" s="170" t="str">
        <f t="shared" si="65"/>
        <v>Mystic Armor</v>
      </c>
      <c r="AJ508" s="168">
        <f t="shared" si="66"/>
        <v>0</v>
      </c>
      <c r="AK508" s="168">
        <f ca="1" t="shared" si="67"/>
        <v>0</v>
      </c>
      <c r="AL508" s="168">
        <f t="shared" si="95"/>
        <v>0</v>
      </c>
      <c r="AM508" s="215" t="b">
        <f t="shared" si="68"/>
        <v>0</v>
      </c>
      <c r="AN508" s="170" t="str">
        <f t="shared" si="69"/>
        <v>Racial History</v>
      </c>
      <c r="AO508" s="168">
        <f t="shared" si="70"/>
        <v>0</v>
      </c>
      <c r="AP508" s="168">
        <f ca="1" t="shared" si="96"/>
        <v>0</v>
      </c>
      <c r="AQ508" s="168" t="str">
        <f t="shared" si="71"/>
        <v>P</v>
      </c>
      <c r="AR508" s="168">
        <f t="shared" si="97"/>
        <v>0</v>
      </c>
      <c r="AS508" s="215" t="b">
        <f t="shared" si="72"/>
        <v>0</v>
      </c>
      <c r="AT508" s="170" t="e">
        <f t="shared" si="110"/>
        <v>#N/A</v>
      </c>
      <c r="AU508" s="249" t="e">
        <f>IF(AT508&lt;&gt;" ",MATCH(AT508,Talents!H$3:H$129))</f>
        <v>#N/A</v>
      </c>
      <c r="AV508" s="249" t="e">
        <f ca="1">IF(AU508,OFFSET(Talents!I$2,Build!AU508,0)," ")</f>
        <v>#N/A</v>
      </c>
      <c r="AW508" s="168" t="e">
        <f ca="1">IF(AU508,OFFSET(Talents!K$2,Build!AU508,0)," ")</f>
        <v>#N/A</v>
      </c>
      <c r="AX508" s="168" t="e">
        <f ca="1">IF(AU508,OFFSET(Talents!J$2,Build!AU508,0)," ")</f>
        <v>#N/A</v>
      </c>
      <c r="AY508" s="168" t="e">
        <f ca="1">IF(AU508,OFFSET(Talents!L$2,Build!AU508,0)," ")</f>
        <v>#N/A</v>
      </c>
      <c r="AZ508" s="168" t="e">
        <f ca="1">VALUE(RIGHT("00"&amp;OFFSET(Front!Q$13,MATCH(AV508,Front!A$14:A$43,0),0),2))</f>
        <v>#N/A</v>
      </c>
      <c r="BA508" s="168">
        <f t="shared" si="98"/>
        <v>0</v>
      </c>
      <c r="BB508" s="168" t="b">
        <f t="shared" si="73"/>
        <v>0</v>
      </c>
      <c r="BC508" s="169">
        <f t="shared" si="99"/>
        <v>0</v>
      </c>
      <c r="BD508" s="168" t="b">
        <f t="shared" si="74"/>
        <v>0</v>
      </c>
      <c r="BE508" s="215">
        <f ca="1" t="shared" si="75"/>
        <v>0</v>
      </c>
      <c r="BF508" s="249" t="str">
        <f t="shared" si="76"/>
        <v> </v>
      </c>
      <c r="BG508" s="168">
        <f t="shared" si="77"/>
        <v>0</v>
      </c>
      <c r="BH508" s="168">
        <f t="shared" si="107"/>
        <v>0</v>
      </c>
      <c r="BI508" s="171">
        <f t="shared" si="100"/>
      </c>
      <c r="BJ508" s="327" t="s">
        <v>128</v>
      </c>
      <c r="BK508" s="168" t="e">
        <f t="shared" si="78"/>
        <v>#N/A</v>
      </c>
      <c r="BL508" s="168" t="e">
        <f ca="1" t="shared" si="79"/>
        <v>#N/A</v>
      </c>
      <c r="BM508" s="168">
        <f t="shared" si="101"/>
        <v>0</v>
      </c>
      <c r="BN508" s="168" t="b">
        <f t="shared" si="102"/>
        <v>0</v>
      </c>
      <c r="BO508" s="321" t="s">
        <v>161</v>
      </c>
      <c r="BP508" s="321" t="e">
        <f t="shared" si="80"/>
        <v>#N/A</v>
      </c>
      <c r="BQ508" s="211">
        <f t="shared" si="108"/>
        <v>10</v>
      </c>
      <c r="BR508" s="249" t="str">
        <f t="shared" si="81"/>
        <v>Boots, Mountain</v>
      </c>
      <c r="BS508" s="168">
        <f t="shared" si="82"/>
        <v>0</v>
      </c>
      <c r="BT508" s="168">
        <f t="shared" si="83"/>
        <v>8</v>
      </c>
      <c r="BU508" s="168" t="s">
        <v>2584</v>
      </c>
      <c r="BV508" s="249">
        <f t="shared" si="103"/>
        <v>6</v>
      </c>
      <c r="BW508" s="249" t="str">
        <f t="shared" si="104"/>
        <v>Mountain Boots</v>
      </c>
      <c r="BX508" s="249" t="str">
        <f t="shared" si="105"/>
        <v> </v>
      </c>
      <c r="BY508" s="168">
        <f t="shared" si="109"/>
        <v>0</v>
      </c>
      <c r="BZ508" s="215" t="b">
        <f t="shared" si="106"/>
        <v>0</v>
      </c>
    </row>
    <row r="509" spans="2:78" ht="12.75">
      <c r="B509" s="137">
        <v>3</v>
      </c>
      <c r="C509" s="112" t="str">
        <f t="shared" si="54"/>
        <v> </v>
      </c>
      <c r="D509" s="112" t="str">
        <f t="shared" si="84"/>
        <v> </v>
      </c>
      <c r="E509" s="122">
        <f t="shared" si="55"/>
        <v>0</v>
      </c>
      <c r="F509" s="134">
        <f ca="1" t="shared" si="85"/>
        <v>0</v>
      </c>
      <c r="G509" s="122">
        <f>IF(C509&lt;&gt;" ",MATCH(D509,Talents!B$3:B$278,1),0)</f>
        <v>0</v>
      </c>
      <c r="H509" s="122" t="str">
        <f ca="1">IF(G509=0," ",OFFSET(Talents!C$2,G509,0))</f>
        <v> </v>
      </c>
      <c r="I509" s="122" t="str">
        <f ca="1">IF(G509=0," ",OFFSET(Talents!D$2,G509,0))</f>
        <v> </v>
      </c>
      <c r="J509" s="122" t="str">
        <f t="shared" si="86"/>
        <v> </v>
      </c>
      <c r="K509" s="122">
        <f t="shared" si="56"/>
        <v>0</v>
      </c>
      <c r="L509" s="122" t="str">
        <f t="shared" si="57"/>
        <v> </v>
      </c>
      <c r="M509" s="122" t="str">
        <f ca="1" t="shared" si="87"/>
        <v>-</v>
      </c>
      <c r="N509" s="112" t="b">
        <f t="shared" si="58"/>
        <v>0</v>
      </c>
      <c r="O509" s="122" t="str">
        <f ca="1">IF(G509&gt;0,IF(N509,"D",OFFSET(Talents!E$2,G509,0))&amp;OFFSET(Talents!F$2,G509,0)," ")</f>
        <v> </v>
      </c>
      <c r="P509" s="122" t="b">
        <f t="shared" si="59"/>
        <v>0</v>
      </c>
      <c r="Q509" s="169">
        <f t="shared" si="88"/>
        <v>0</v>
      </c>
      <c r="R509" s="215" t="b">
        <f t="shared" si="60"/>
        <v>0</v>
      </c>
      <c r="S509" s="168">
        <f t="shared" si="89"/>
        <v>0</v>
      </c>
      <c r="T509" s="215"/>
      <c r="U509" s="168">
        <f t="shared" si="90"/>
        <v>0</v>
      </c>
      <c r="V509" s="168"/>
      <c r="W509" s="169">
        <f t="shared" si="91"/>
        <v>0</v>
      </c>
      <c r="X509" s="168">
        <f t="shared" si="92"/>
        <v>0</v>
      </c>
      <c r="Y509" s="168">
        <f t="shared" si="93"/>
        <v>0</v>
      </c>
      <c r="Z509" s="215">
        <f t="shared" si="94"/>
        <v>0</v>
      </c>
      <c r="AA509" s="169" t="b">
        <f t="shared" si="61"/>
        <v>0</v>
      </c>
      <c r="AB509" s="168" t="b">
        <f t="shared" si="62"/>
        <v>0</v>
      </c>
      <c r="AC509" s="168" t="b">
        <f t="shared" si="63"/>
        <v>0</v>
      </c>
      <c r="AD509" s="215" t="b">
        <f t="shared" si="64"/>
        <v>0</v>
      </c>
      <c r="AE509" s="349">
        <f ca="1">IF(AND(Elem!D17&lt;&gt;"",Elem!AO17=""),OFFSET(Spells!H$2,AA509,0),"")</f>
      </c>
      <c r="AF509" s="349">
        <f ca="1">IF(AND(Ill!D17&lt;&gt;"",Ill!AO17=""),OFFSET(Spells!R$2,AB509,0),"")</f>
      </c>
      <c r="AG509" s="349">
        <f ca="1">IF(AND(Neth!D17&lt;&gt;"",Neth!AO17=""),OFFSET(Spells!AB$2,AC509,0),"")</f>
      </c>
      <c r="AH509" s="319">
        <f ca="1">IF(AND(Wiz!D17&lt;&gt;"",Wiz!AO17=""),OFFSET(Spells!AL$2,AD509,0),"")</f>
      </c>
      <c r="AI509" s="170" t="str">
        <f t="shared" si="65"/>
        <v>Wound Thr.</v>
      </c>
      <c r="AJ509" s="168">
        <f t="shared" si="66"/>
        <v>0</v>
      </c>
      <c r="AK509" s="168">
        <f ca="1" t="shared" si="67"/>
        <v>0</v>
      </c>
      <c r="AL509" s="168">
        <f t="shared" si="95"/>
        <v>0</v>
      </c>
      <c r="AM509" s="215" t="b">
        <f t="shared" si="68"/>
        <v>0</v>
      </c>
      <c r="AN509" s="170" t="str">
        <f t="shared" si="69"/>
        <v>Racial Lore</v>
      </c>
      <c r="AO509" s="168">
        <f t="shared" si="70"/>
        <v>0</v>
      </c>
      <c r="AP509" s="168">
        <f ca="1" t="shared" si="96"/>
        <v>0</v>
      </c>
      <c r="AQ509" s="168" t="str">
        <f t="shared" si="71"/>
        <v>P</v>
      </c>
      <c r="AR509" s="168">
        <f t="shared" si="97"/>
        <v>0</v>
      </c>
      <c r="AS509" s="215" t="b">
        <f t="shared" si="72"/>
        <v>0</v>
      </c>
      <c r="AT509" s="170" t="e">
        <f t="shared" si="110"/>
        <v>#N/A</v>
      </c>
      <c r="AU509" s="249" t="e">
        <f>IF(AT509&lt;&gt;" ",MATCH(AT509,Talents!H$3:H$129))</f>
        <v>#N/A</v>
      </c>
      <c r="AV509" s="249" t="e">
        <f ca="1">IF(AU509,OFFSET(Talents!I$2,Build!AU509,0)," ")</f>
        <v>#N/A</v>
      </c>
      <c r="AW509" s="168" t="e">
        <f ca="1">IF(AU509,OFFSET(Talents!K$2,Build!AU509,0)," ")</f>
        <v>#N/A</v>
      </c>
      <c r="AX509" s="168" t="e">
        <f ca="1">IF(AU509,OFFSET(Talents!J$2,Build!AU509,0)," ")</f>
        <v>#N/A</v>
      </c>
      <c r="AY509" s="168" t="e">
        <f ca="1">IF(AU509,OFFSET(Talents!L$2,Build!AU509,0)," ")</f>
        <v>#N/A</v>
      </c>
      <c r="AZ509" s="168" t="e">
        <f ca="1">VALUE(RIGHT("00"&amp;OFFSET(Front!Q$13,MATCH(AV509,Front!A$14:A$43,0),0),2))</f>
        <v>#N/A</v>
      </c>
      <c r="BA509" s="168">
        <f t="shared" si="98"/>
        <v>0</v>
      </c>
      <c r="BB509" s="168" t="b">
        <f t="shared" si="73"/>
        <v>0</v>
      </c>
      <c r="BC509" s="169">
        <f t="shared" si="99"/>
        <v>0</v>
      </c>
      <c r="BD509" s="168" t="b">
        <f t="shared" si="74"/>
        <v>0</v>
      </c>
      <c r="BE509" s="215">
        <f ca="1" t="shared" si="75"/>
        <v>0</v>
      </c>
      <c r="BF509" s="249" t="str">
        <f>IF(P155&lt;&gt;"",M155," ")</f>
        <v> </v>
      </c>
      <c r="BG509" s="168">
        <f>Q155</f>
        <v>2</v>
      </c>
      <c r="BH509" s="168">
        <f t="shared" si="107"/>
        <v>0</v>
      </c>
      <c r="BI509" s="171">
        <f t="shared" si="100"/>
      </c>
      <c r="BJ509" s="327" t="s">
        <v>144</v>
      </c>
      <c r="BK509" s="168" t="e">
        <f t="shared" si="78"/>
        <v>#N/A</v>
      </c>
      <c r="BL509" s="168" t="e">
        <f ca="1" t="shared" si="79"/>
        <v>#N/A</v>
      </c>
      <c r="BM509" s="168">
        <f t="shared" si="101"/>
        <v>0</v>
      </c>
      <c r="BN509" s="168" t="b">
        <f t="shared" si="102"/>
        <v>0</v>
      </c>
      <c r="BO509" s="321" t="s">
        <v>161</v>
      </c>
      <c r="BP509" s="321" t="e">
        <f t="shared" si="80"/>
        <v>#N/A</v>
      </c>
      <c r="BQ509" s="211">
        <f t="shared" si="108"/>
        <v>11</v>
      </c>
      <c r="BR509" s="249" t="str">
        <f t="shared" si="81"/>
        <v>Breeches, Peasant's</v>
      </c>
      <c r="BS509" s="168">
        <f t="shared" si="82"/>
        <v>0</v>
      </c>
      <c r="BT509" s="168">
        <f t="shared" si="83"/>
        <v>0.4</v>
      </c>
      <c r="BU509" s="168" t="s">
        <v>2584</v>
      </c>
      <c r="BV509" s="249">
        <f t="shared" si="103"/>
        <v>9</v>
      </c>
      <c r="BW509" s="249" t="str">
        <f t="shared" si="104"/>
        <v>Peasant's Breeches</v>
      </c>
      <c r="BX509" s="249" t="str">
        <f t="shared" si="105"/>
        <v> </v>
      </c>
      <c r="BY509" s="168">
        <f t="shared" si="109"/>
        <v>0</v>
      </c>
      <c r="BZ509" s="215" t="b">
        <f t="shared" si="106"/>
        <v>0</v>
      </c>
    </row>
    <row r="510" spans="2:78" ht="12.75">
      <c r="B510" s="137">
        <v>3</v>
      </c>
      <c r="C510" s="112" t="str">
        <f t="shared" si="54"/>
        <v> </v>
      </c>
      <c r="D510" s="112" t="str">
        <f t="shared" si="84"/>
        <v> </v>
      </c>
      <c r="E510" s="122">
        <f t="shared" si="55"/>
        <v>0</v>
      </c>
      <c r="F510" s="134">
        <f ca="1" t="shared" si="85"/>
        <v>0</v>
      </c>
      <c r="G510" s="122">
        <f>IF(C510&lt;&gt;" ",MATCH(D510,Talents!B$3:B$278,1),0)</f>
        <v>0</v>
      </c>
      <c r="H510" s="122" t="str">
        <f ca="1">IF(G510=0," ",OFFSET(Talents!C$2,G510,0))</f>
        <v> </v>
      </c>
      <c r="I510" s="122" t="str">
        <f ca="1">IF(G510=0," ",OFFSET(Talents!D$2,G510,0))</f>
        <v> </v>
      </c>
      <c r="J510" s="122" t="str">
        <f t="shared" si="86"/>
        <v> </v>
      </c>
      <c r="K510" s="122">
        <f t="shared" si="56"/>
        <v>0</v>
      </c>
      <c r="L510" s="122" t="str">
        <f t="shared" si="57"/>
        <v> </v>
      </c>
      <c r="M510" s="122" t="str">
        <f ca="1" t="shared" si="87"/>
        <v>-</v>
      </c>
      <c r="N510" s="112" t="b">
        <f t="shared" si="58"/>
        <v>0</v>
      </c>
      <c r="O510" s="122" t="str">
        <f ca="1">IF(G510&gt;0,IF(N510,"D",OFFSET(Talents!E$2,G510,0))&amp;OFFSET(Talents!F$2,G510,0)," ")</f>
        <v> </v>
      </c>
      <c r="P510" s="122" t="b">
        <f t="shared" si="59"/>
        <v>0</v>
      </c>
      <c r="Q510" s="169">
        <f t="shared" si="88"/>
        <v>0</v>
      </c>
      <c r="R510" s="215" t="b">
        <f t="shared" si="60"/>
        <v>0</v>
      </c>
      <c r="S510" s="168">
        <f t="shared" si="89"/>
        <v>0</v>
      </c>
      <c r="T510" s="215"/>
      <c r="U510" s="168">
        <f t="shared" si="90"/>
        <v>0</v>
      </c>
      <c r="V510" s="168"/>
      <c r="W510" s="169">
        <f t="shared" si="91"/>
        <v>0</v>
      </c>
      <c r="X510" s="168">
        <f t="shared" si="92"/>
        <v>0</v>
      </c>
      <c r="Y510" s="168">
        <f t="shared" si="93"/>
        <v>0</v>
      </c>
      <c r="Z510" s="215">
        <f t="shared" si="94"/>
        <v>0</v>
      </c>
      <c r="AA510" s="169" t="b">
        <f t="shared" si="61"/>
        <v>0</v>
      </c>
      <c r="AB510" s="168" t="b">
        <f t="shared" si="62"/>
        <v>0</v>
      </c>
      <c r="AC510" s="168" t="b">
        <f t="shared" si="63"/>
        <v>0</v>
      </c>
      <c r="AD510" s="215" t="b">
        <f t="shared" si="64"/>
        <v>0</v>
      </c>
      <c r="AE510" s="349">
        <f ca="1">IF(AND(Elem!D18&lt;&gt;"",Elem!AO18=""),OFFSET(Spells!H$2,AA510,0),"")</f>
      </c>
      <c r="AF510" s="349">
        <f ca="1">IF(AND(Ill!D18&lt;&gt;"",Ill!AO18=""),OFFSET(Spells!R$2,AB510,0),"")</f>
      </c>
      <c r="AG510" s="349">
        <f ca="1">IF(AND(Neth!D18&lt;&gt;"",Neth!AO18=""),OFFSET(Spells!AB$2,AC510,0),"")</f>
      </c>
      <c r="AH510" s="319">
        <f ca="1">IF(AND(Wiz!D18&lt;&gt;"",Wiz!AO18=""),OFFSET(Spells!AL$2,AD510,0),"")</f>
      </c>
      <c r="AI510" s="170" t="str">
        <f t="shared" si="65"/>
        <v>Initiative</v>
      </c>
      <c r="AJ510" s="168">
        <f t="shared" si="66"/>
        <v>0</v>
      </c>
      <c r="AK510" s="168">
        <f ca="1" t="shared" si="67"/>
        <v>0</v>
      </c>
      <c r="AL510" s="168">
        <f t="shared" si="95"/>
        <v>0</v>
      </c>
      <c r="AM510" s="215" t="b">
        <f t="shared" si="68"/>
        <v>0</v>
      </c>
      <c r="AN510" s="170" t="str">
        <f t="shared" si="69"/>
        <v>Racial Politics</v>
      </c>
      <c r="AO510" s="168">
        <f t="shared" si="70"/>
        <v>0</v>
      </c>
      <c r="AP510" s="168">
        <f ca="1" t="shared" si="96"/>
        <v>0</v>
      </c>
      <c r="AQ510" s="168" t="str">
        <f t="shared" si="71"/>
        <v>P</v>
      </c>
      <c r="AR510" s="168">
        <f t="shared" si="97"/>
        <v>0</v>
      </c>
      <c r="AS510" s="215" t="b">
        <f t="shared" si="72"/>
        <v>0</v>
      </c>
      <c r="AT510" s="170" t="e">
        <f t="shared" si="110"/>
        <v>#N/A</v>
      </c>
      <c r="AU510" s="249" t="e">
        <f>IF(AT510&lt;&gt;" ",MATCH(AT510,Talents!H$3:H$129))</f>
        <v>#N/A</v>
      </c>
      <c r="AV510" s="249" t="e">
        <f ca="1">IF(AU510,OFFSET(Talents!I$2,Build!AU510,0)," ")</f>
        <v>#N/A</v>
      </c>
      <c r="AW510" s="168" t="e">
        <f ca="1">IF(AU510,OFFSET(Talents!K$2,Build!AU510,0)," ")</f>
        <v>#N/A</v>
      </c>
      <c r="AX510" s="168" t="e">
        <f ca="1">IF(AU510,OFFSET(Talents!J$2,Build!AU510,0)," ")</f>
        <v>#N/A</v>
      </c>
      <c r="AY510" s="168" t="e">
        <f ca="1">IF(AU510,OFFSET(Talents!L$2,Build!AU510,0)," ")</f>
        <v>#N/A</v>
      </c>
      <c r="AZ510" s="168" t="e">
        <f ca="1">VALUE(RIGHT("00"&amp;OFFSET(Front!Q$13,MATCH(AV510,Front!A$14:A$43,0),0),2))</f>
        <v>#N/A</v>
      </c>
      <c r="BA510" s="168">
        <f t="shared" si="98"/>
        <v>0</v>
      </c>
      <c r="BB510" s="168" t="b">
        <f t="shared" si="73"/>
        <v>0</v>
      </c>
      <c r="BC510" s="169">
        <f t="shared" si="99"/>
        <v>0</v>
      </c>
      <c r="BD510" s="168" t="b">
        <f t="shared" si="74"/>
        <v>0</v>
      </c>
      <c r="BE510" s="215">
        <f ca="1" t="shared" si="75"/>
        <v>0</v>
      </c>
      <c r="BF510" s="249" t="str">
        <f aca="true" t="shared" si="111" ref="BF510:BF518">IF(P157&lt;&gt;"",M157," ")</f>
        <v> </v>
      </c>
      <c r="BG510" s="168">
        <f aca="true" t="shared" si="112" ref="BG510:BG518">Q157</f>
        <v>1</v>
      </c>
      <c r="BH510" s="168">
        <f t="shared" si="107"/>
        <v>0</v>
      </c>
      <c r="BI510" s="171">
        <f t="shared" si="100"/>
      </c>
      <c r="BJ510" s="327" t="s">
        <v>153</v>
      </c>
      <c r="BK510" s="168" t="e">
        <f t="shared" si="78"/>
        <v>#N/A</v>
      </c>
      <c r="BL510" s="168" t="e">
        <f ca="1" t="shared" si="79"/>
        <v>#N/A</v>
      </c>
      <c r="BM510" s="168">
        <f t="shared" si="101"/>
        <v>0</v>
      </c>
      <c r="BN510" s="168" t="b">
        <f t="shared" si="102"/>
        <v>0</v>
      </c>
      <c r="BO510" s="321" t="s">
        <v>161</v>
      </c>
      <c r="BP510" s="321" t="e">
        <f t="shared" si="80"/>
        <v>#N/A</v>
      </c>
      <c r="BQ510" s="211">
        <f t="shared" si="108"/>
        <v>12</v>
      </c>
      <c r="BR510" s="249" t="str">
        <f t="shared" si="81"/>
        <v>Breeches, Merchant's</v>
      </c>
      <c r="BS510" s="168">
        <f t="shared" si="82"/>
        <v>0</v>
      </c>
      <c r="BT510" s="168">
        <f t="shared" si="83"/>
        <v>1</v>
      </c>
      <c r="BU510" s="168" t="s">
        <v>2584</v>
      </c>
      <c r="BV510" s="249">
        <f t="shared" si="103"/>
        <v>9</v>
      </c>
      <c r="BW510" s="249" t="str">
        <f t="shared" si="104"/>
        <v>Merchant's Breeches</v>
      </c>
      <c r="BX510" s="249" t="str">
        <f t="shared" si="105"/>
        <v> </v>
      </c>
      <c r="BY510" s="168">
        <f t="shared" si="109"/>
        <v>0</v>
      </c>
      <c r="BZ510" s="215" t="b">
        <f t="shared" si="106"/>
        <v>0</v>
      </c>
    </row>
    <row r="511" spans="2:78" ht="12.75">
      <c r="B511" s="137">
        <v>4</v>
      </c>
      <c r="C511" s="112" t="str">
        <f t="shared" si="54"/>
        <v> </v>
      </c>
      <c r="D511" s="112" t="str">
        <f t="shared" si="84"/>
        <v> </v>
      </c>
      <c r="E511" s="122">
        <f t="shared" si="55"/>
        <v>0</v>
      </c>
      <c r="F511" s="134">
        <f ca="1" t="shared" si="85"/>
        <v>0</v>
      </c>
      <c r="G511" s="122">
        <f>IF(C511&lt;&gt;" ",MATCH(D511,Talents!B$3:B$278,1),0)</f>
        <v>0</v>
      </c>
      <c r="H511" s="122" t="str">
        <f ca="1">IF(G511=0," ",OFFSET(Talents!C$2,G511,0))</f>
        <v> </v>
      </c>
      <c r="I511" s="122" t="str">
        <f ca="1">IF(G511=0," ",OFFSET(Talents!D$2,G511,0))</f>
        <v> </v>
      </c>
      <c r="J511" s="122" t="str">
        <f t="shared" si="86"/>
        <v> </v>
      </c>
      <c r="K511" s="122">
        <f t="shared" si="56"/>
        <v>0</v>
      </c>
      <c r="L511" s="122" t="str">
        <f t="shared" si="57"/>
        <v> </v>
      </c>
      <c r="M511" s="122" t="str">
        <f ca="1" t="shared" si="87"/>
        <v>-</v>
      </c>
      <c r="N511" s="112" t="b">
        <f t="shared" si="58"/>
        <v>0</v>
      </c>
      <c r="O511" s="122" t="str">
        <f ca="1">IF(G511&gt;0,IF(N511,"D",OFFSET(Talents!E$2,G511,0))&amp;OFFSET(Talents!F$2,G511,0)," ")</f>
        <v> </v>
      </c>
      <c r="P511" s="122" t="b">
        <f t="shared" si="59"/>
        <v>0</v>
      </c>
      <c r="Q511" s="169">
        <f t="shared" si="88"/>
        <v>0</v>
      </c>
      <c r="R511" s="215" t="b">
        <f t="shared" si="60"/>
        <v>0</v>
      </c>
      <c r="S511" s="168">
        <f t="shared" si="89"/>
        <v>0</v>
      </c>
      <c r="T511" s="215"/>
      <c r="U511" s="168">
        <f t="shared" si="90"/>
        <v>0</v>
      </c>
      <c r="V511" s="168"/>
      <c r="W511" s="169">
        <f t="shared" si="91"/>
        <v>0</v>
      </c>
      <c r="X511" s="168">
        <f t="shared" si="92"/>
        <v>0</v>
      </c>
      <c r="Y511" s="168">
        <f t="shared" si="93"/>
        <v>0</v>
      </c>
      <c r="Z511" s="215">
        <f t="shared" si="94"/>
        <v>0</v>
      </c>
      <c r="AA511" s="169" t="b">
        <f t="shared" si="61"/>
        <v>0</v>
      </c>
      <c r="AB511" s="168" t="b">
        <f t="shared" si="62"/>
        <v>0</v>
      </c>
      <c r="AC511" s="168" t="b">
        <f t="shared" si="63"/>
        <v>0</v>
      </c>
      <c r="AD511" s="215" t="b">
        <f t="shared" si="64"/>
        <v>0</v>
      </c>
      <c r="AE511" s="349">
        <f ca="1">IF(AND(Elem!D19&lt;&gt;"",Elem!AO19=""),OFFSET(Spells!H$2,AA511,0),"")</f>
      </c>
      <c r="AF511" s="349">
        <f ca="1">IF(AND(Ill!D19&lt;&gt;"",Ill!AO19=""),OFFSET(Spells!R$2,AB511,0),"")</f>
      </c>
      <c r="AG511" s="349">
        <f ca="1">IF(AND(Neth!D19&lt;&gt;"",Neth!AO19=""),OFFSET(Spells!AB$2,AC511,0),"")</f>
      </c>
      <c r="AH511" s="319">
        <f ca="1">IF(AND(Wiz!D19&lt;&gt;"",Wiz!AO19=""),OFFSET(Spells!AL$2,AD511,0),"")</f>
      </c>
      <c r="AI511" s="170" t="str">
        <f t="shared" si="65"/>
        <v>Recovery Step</v>
      </c>
      <c r="AJ511" s="168">
        <f t="shared" si="66"/>
        <v>0</v>
      </c>
      <c r="AK511" s="168">
        <f ca="1" t="shared" si="67"/>
        <v>0</v>
      </c>
      <c r="AL511" s="168">
        <f t="shared" si="95"/>
        <v>0</v>
      </c>
      <c r="AM511" s="215" t="b">
        <f t="shared" si="68"/>
        <v>0</v>
      </c>
      <c r="AN511" s="170" t="str">
        <f t="shared" si="69"/>
        <v>Scourge History</v>
      </c>
      <c r="AO511" s="168">
        <f t="shared" si="70"/>
        <v>0</v>
      </c>
      <c r="AP511" s="168">
        <f ca="1" t="shared" si="96"/>
        <v>0</v>
      </c>
      <c r="AQ511" s="168" t="str">
        <f t="shared" si="71"/>
        <v>P</v>
      </c>
      <c r="AR511" s="168">
        <f t="shared" si="97"/>
        <v>0</v>
      </c>
      <c r="AS511" s="215" t="b">
        <f t="shared" si="72"/>
        <v>0</v>
      </c>
      <c r="AT511" s="170" t="e">
        <f t="shared" si="110"/>
        <v>#N/A</v>
      </c>
      <c r="AU511" s="249" t="e">
        <f>IF(AT511&lt;&gt;" ",MATCH(AT511,Talents!H$3:H$129))</f>
        <v>#N/A</v>
      </c>
      <c r="AV511" s="249" t="e">
        <f ca="1">IF(AU511,OFFSET(Talents!I$2,Build!AU511,0)," ")</f>
        <v>#N/A</v>
      </c>
      <c r="AW511" s="168" t="e">
        <f ca="1">IF(AU511,OFFSET(Talents!K$2,Build!AU511,0)," ")</f>
        <v>#N/A</v>
      </c>
      <c r="AX511" s="168" t="e">
        <f ca="1">IF(AU511,OFFSET(Talents!J$2,Build!AU511,0)," ")</f>
        <v>#N/A</v>
      </c>
      <c r="AY511" s="168" t="e">
        <f ca="1">IF(AU511,OFFSET(Talents!L$2,Build!AU511,0)," ")</f>
        <v>#N/A</v>
      </c>
      <c r="AZ511" s="168" t="e">
        <f ca="1">VALUE(RIGHT("00"&amp;OFFSET(Front!Q$13,MATCH(AV511,Front!A$14:A$43,0),0),2))</f>
        <v>#N/A</v>
      </c>
      <c r="BA511" s="168">
        <f t="shared" si="98"/>
        <v>0</v>
      </c>
      <c r="BB511" s="168" t="b">
        <f t="shared" si="73"/>
        <v>0</v>
      </c>
      <c r="BC511" s="169">
        <f t="shared" si="99"/>
        <v>0</v>
      </c>
      <c r="BD511" s="168" t="b">
        <f t="shared" si="74"/>
        <v>0</v>
      </c>
      <c r="BE511" s="215">
        <f ca="1" t="shared" si="75"/>
        <v>0</v>
      </c>
      <c r="BF511" s="249" t="str">
        <f t="shared" si="111"/>
        <v> </v>
      </c>
      <c r="BG511" s="168">
        <f t="shared" si="112"/>
        <v>3</v>
      </c>
      <c r="BH511" s="168">
        <f t="shared" si="107"/>
        <v>0</v>
      </c>
      <c r="BI511" s="171">
        <f t="shared" si="100"/>
      </c>
      <c r="BJ511" s="328" t="s">
        <v>139</v>
      </c>
      <c r="BK511" s="131" t="e">
        <f t="shared" si="78"/>
        <v>#N/A</v>
      </c>
      <c r="BL511" s="131" t="e">
        <f ca="1" t="shared" si="79"/>
        <v>#N/A</v>
      </c>
      <c r="BM511" s="131">
        <f t="shared" si="101"/>
        <v>0</v>
      </c>
      <c r="BN511" s="131" t="b">
        <f t="shared" si="102"/>
        <v>0</v>
      </c>
      <c r="BO511" s="322" t="s">
        <v>139</v>
      </c>
      <c r="BP511" s="322" t="e">
        <f t="shared" si="80"/>
        <v>#N/A</v>
      </c>
      <c r="BQ511" s="211">
        <f t="shared" si="108"/>
        <v>13</v>
      </c>
      <c r="BR511" s="249" t="str">
        <f t="shared" si="81"/>
        <v>Breeches, Guild member's</v>
      </c>
      <c r="BS511" s="168">
        <f t="shared" si="82"/>
        <v>0</v>
      </c>
      <c r="BT511" s="168">
        <f t="shared" si="83"/>
        <v>7</v>
      </c>
      <c r="BU511" s="168" t="s">
        <v>2584</v>
      </c>
      <c r="BV511" s="249">
        <f t="shared" si="103"/>
        <v>9</v>
      </c>
      <c r="BW511" s="249" t="str">
        <f t="shared" si="104"/>
        <v>Guild member's Breeches</v>
      </c>
      <c r="BX511" s="249" t="str">
        <f t="shared" si="105"/>
        <v> </v>
      </c>
      <c r="BY511" s="168">
        <f t="shared" si="109"/>
        <v>0</v>
      </c>
      <c r="BZ511" s="215" t="b">
        <f t="shared" si="106"/>
        <v>0</v>
      </c>
    </row>
    <row r="512" spans="2:78" ht="12.75">
      <c r="B512" s="137">
        <v>4</v>
      </c>
      <c r="C512" s="112" t="str">
        <f t="shared" si="54"/>
        <v> </v>
      </c>
      <c r="D512" s="112" t="str">
        <f t="shared" si="84"/>
        <v> </v>
      </c>
      <c r="E512" s="122">
        <f t="shared" si="55"/>
        <v>0</v>
      </c>
      <c r="F512" s="134">
        <f ca="1" t="shared" si="85"/>
        <v>0</v>
      </c>
      <c r="G512" s="122">
        <f>IF(C512&lt;&gt;" ",MATCH(D512,Talents!B$3:B$278,1),0)</f>
        <v>0</v>
      </c>
      <c r="H512" s="122" t="str">
        <f ca="1">IF(G512=0," ",OFFSET(Talents!C$2,G512,0))</f>
        <v> </v>
      </c>
      <c r="I512" s="122" t="str">
        <f ca="1">IF(G512=0," ",OFFSET(Talents!D$2,G512,0))</f>
        <v> </v>
      </c>
      <c r="J512" s="122" t="str">
        <f t="shared" si="86"/>
        <v> </v>
      </c>
      <c r="K512" s="122">
        <f t="shared" si="56"/>
        <v>0</v>
      </c>
      <c r="L512" s="122" t="str">
        <f t="shared" si="57"/>
        <v> </v>
      </c>
      <c r="M512" s="122" t="str">
        <f ca="1" t="shared" si="87"/>
        <v>-</v>
      </c>
      <c r="N512" s="112" t="b">
        <f t="shared" si="58"/>
        <v>0</v>
      </c>
      <c r="O512" s="122" t="str">
        <f ca="1">IF(G512&gt;0,IF(N512,"D",OFFSET(Talents!E$2,G512,0))&amp;OFFSET(Talents!F$2,G512,0)," ")</f>
        <v> </v>
      </c>
      <c r="P512" s="122" t="b">
        <f t="shared" si="59"/>
        <v>0</v>
      </c>
      <c r="Q512" s="169">
        <f t="shared" si="88"/>
        <v>0</v>
      </c>
      <c r="R512" s="215" t="b">
        <f t="shared" si="60"/>
        <v>0</v>
      </c>
      <c r="S512" s="168">
        <f t="shared" si="89"/>
        <v>0</v>
      </c>
      <c r="T512" s="215"/>
      <c r="U512" s="168">
        <f t="shared" si="90"/>
        <v>0</v>
      </c>
      <c r="V512" s="168"/>
      <c r="W512" s="169">
        <f t="shared" si="91"/>
        <v>0</v>
      </c>
      <c r="X512" s="168">
        <f t="shared" si="92"/>
        <v>0</v>
      </c>
      <c r="Y512" s="168">
        <f t="shared" si="93"/>
        <v>0</v>
      </c>
      <c r="Z512" s="215">
        <f t="shared" si="94"/>
        <v>0</v>
      </c>
      <c r="AA512" s="169" t="b">
        <f t="shared" si="61"/>
        <v>0</v>
      </c>
      <c r="AB512" s="168" t="b">
        <f t="shared" si="62"/>
        <v>0</v>
      </c>
      <c r="AC512" s="168" t="b">
        <f t="shared" si="63"/>
        <v>0</v>
      </c>
      <c r="AD512" s="215" t="b">
        <f t="shared" si="64"/>
        <v>0</v>
      </c>
      <c r="AE512" s="349">
        <f ca="1">IF(AND(Elem!D20&lt;&gt;"",Elem!AO20=""),OFFSET(Spells!H$2,AA512,0),"")</f>
      </c>
      <c r="AF512" s="349">
        <f ca="1">IF(AND(Ill!D20&lt;&gt;"",Ill!AO20=""),OFFSET(Spells!R$2,AB512,0),"")</f>
      </c>
      <c r="AG512" s="349">
        <f ca="1">IF(AND(Neth!D20&lt;&gt;"",Neth!AO20=""),OFFSET(Spells!AB$2,AC512,0),"")</f>
      </c>
      <c r="AH512" s="319">
        <f ca="1">IF(AND(Wiz!D20&lt;&gt;"",Wiz!AO20=""),OFFSET(Spells!AL$2,AD512,0),"")</f>
      </c>
      <c r="AI512" s="170" t="str">
        <f aca="true" t="shared" si="113" ref="AI512:AI523">IF(B266&lt;&gt;"",B266," ")</f>
        <v> </v>
      </c>
      <c r="AJ512" s="168">
        <f aca="true" t="shared" si="114" ref="AJ512:AJ523">IF(AI512&gt;0,E266,0)</f>
        <v>0</v>
      </c>
      <c r="AK512" s="168">
        <f ca="1" t="shared" si="67"/>
        <v>0</v>
      </c>
      <c r="AL512" s="168">
        <f aca="true" t="shared" si="115" ref="AL512:AL540">AL511+IF(AND(AI512&lt;&gt;" ",AJ512&gt;0),1,0)</f>
        <v>0</v>
      </c>
      <c r="AM512" s="215" t="b">
        <f t="shared" si="68"/>
        <v>0</v>
      </c>
      <c r="AN512" s="170">
        <f t="shared" si="69"/>
      </c>
      <c r="AO512" s="168">
        <f t="shared" si="70"/>
        <v>0</v>
      </c>
      <c r="AP512" s="168">
        <f ca="1" t="shared" si="96"/>
        <v>0</v>
      </c>
      <c r="AQ512" s="168">
        <f t="shared" si="71"/>
        <v>0</v>
      </c>
      <c r="AR512" s="168">
        <f t="shared" si="97"/>
        <v>0</v>
      </c>
      <c r="AS512" s="215" t="b">
        <f t="shared" si="72"/>
        <v>0</v>
      </c>
      <c r="AT512" s="170" t="e">
        <f t="shared" si="110"/>
        <v>#N/A</v>
      </c>
      <c r="AU512" s="249" t="e">
        <f>IF(AT512&lt;&gt;" ",MATCH(AT512,Talents!H$3:H$129))</f>
        <v>#N/A</v>
      </c>
      <c r="AV512" s="249" t="e">
        <f ca="1">IF(AU512,OFFSET(Talents!I$2,Build!AU512,0)," ")</f>
        <v>#N/A</v>
      </c>
      <c r="AW512" s="168" t="e">
        <f ca="1">IF(AU512,OFFSET(Talents!K$2,Build!AU512,0)," ")</f>
        <v>#N/A</v>
      </c>
      <c r="AX512" s="168" t="e">
        <f ca="1">IF(AU512,OFFSET(Talents!J$2,Build!AU512,0)," ")</f>
        <v>#N/A</v>
      </c>
      <c r="AY512" s="168" t="e">
        <f ca="1">IF(AU512,OFFSET(Talents!L$2,Build!AU512,0)," ")</f>
        <v>#N/A</v>
      </c>
      <c r="AZ512" s="168" t="e">
        <f ca="1">VALUE(RIGHT("00"&amp;OFFSET(Front!Q$13,MATCH(AV512,Front!A$14:A$43,0),0),2))</f>
        <v>#N/A</v>
      </c>
      <c r="BA512" s="168">
        <f t="shared" si="98"/>
        <v>0</v>
      </c>
      <c r="BB512" s="168" t="b">
        <f t="shared" si="73"/>
        <v>0</v>
      </c>
      <c r="BC512" s="169">
        <f t="shared" si="99"/>
        <v>0</v>
      </c>
      <c r="BD512" s="168" t="b">
        <f t="shared" si="74"/>
        <v>0</v>
      </c>
      <c r="BE512" s="215">
        <f ca="1" t="shared" si="75"/>
        <v>0</v>
      </c>
      <c r="BF512" s="249" t="str">
        <f t="shared" si="111"/>
        <v> </v>
      </c>
      <c r="BG512" s="168">
        <f t="shared" si="112"/>
        <v>4</v>
      </c>
      <c r="BH512" s="168">
        <f t="shared" si="107"/>
        <v>0</v>
      </c>
      <c r="BI512" s="171">
        <f t="shared" si="100"/>
      </c>
      <c r="BQ512" s="211">
        <f t="shared" si="108"/>
        <v>14</v>
      </c>
      <c r="BR512" s="249" t="str">
        <f t="shared" si="81"/>
        <v>Brooch, Plain brass</v>
      </c>
      <c r="BS512" s="168">
        <f t="shared" si="82"/>
        <v>0</v>
      </c>
      <c r="BT512" s="168">
        <f t="shared" si="83"/>
        <v>2</v>
      </c>
      <c r="BU512" s="168" t="s">
        <v>2584</v>
      </c>
      <c r="BV512" s="249">
        <f t="shared" si="103"/>
        <v>7</v>
      </c>
      <c r="BW512" s="249" t="str">
        <f t="shared" si="104"/>
        <v>Plain brass Brooch</v>
      </c>
      <c r="BX512" s="249" t="str">
        <f t="shared" si="105"/>
        <v> </v>
      </c>
      <c r="BY512" s="168">
        <f t="shared" si="109"/>
        <v>0</v>
      </c>
      <c r="BZ512" s="215" t="b">
        <f t="shared" si="106"/>
        <v>0</v>
      </c>
    </row>
    <row r="513" spans="2:78" ht="12.75">
      <c r="B513" s="137">
        <v>5</v>
      </c>
      <c r="C513" s="112" t="str">
        <f t="shared" si="54"/>
        <v> </v>
      </c>
      <c r="D513" s="112" t="str">
        <f t="shared" si="84"/>
        <v> </v>
      </c>
      <c r="E513" s="122">
        <f t="shared" si="55"/>
        <v>0</v>
      </c>
      <c r="F513" s="134">
        <f aca="true" ca="1" t="shared" si="116" ref="F513:F520">OFFSET(Cost_5_8,E513,0)</f>
        <v>0</v>
      </c>
      <c r="G513" s="122">
        <f>IF(C513&lt;&gt;" ",MATCH(D513,Talents!B$3:B$278,1),0)</f>
        <v>0</v>
      </c>
      <c r="H513" s="122" t="str">
        <f ca="1">IF(G513=0," ",OFFSET(Talents!C$2,G513,0))</f>
        <v> </v>
      </c>
      <c r="I513" s="122" t="str">
        <f ca="1">IF(G513=0," ",OFFSET(Talents!D$2,G513,0))</f>
        <v> </v>
      </c>
      <c r="J513" s="122" t="str">
        <f t="shared" si="86"/>
        <v> </v>
      </c>
      <c r="K513" s="122">
        <f t="shared" si="56"/>
        <v>0</v>
      </c>
      <c r="L513" s="122" t="str">
        <f t="shared" si="57"/>
        <v> </v>
      </c>
      <c r="M513" s="122" t="str">
        <f ca="1" t="shared" si="87"/>
        <v>-</v>
      </c>
      <c r="N513" s="112" t="b">
        <f t="shared" si="58"/>
        <v>0</v>
      </c>
      <c r="O513" s="122" t="str">
        <f ca="1">IF(G513&gt;0,IF(N513,"D",OFFSET(Talents!E$2,G513,0))&amp;OFFSET(Talents!F$2,G513,0)," ")</f>
        <v> </v>
      </c>
      <c r="P513" s="122" t="b">
        <f t="shared" si="59"/>
        <v>0</v>
      </c>
      <c r="Q513" s="169">
        <f t="shared" si="88"/>
        <v>0</v>
      </c>
      <c r="R513" s="215" t="b">
        <f t="shared" si="60"/>
        <v>0</v>
      </c>
      <c r="S513" s="168">
        <f t="shared" si="89"/>
        <v>0</v>
      </c>
      <c r="T513" s="215"/>
      <c r="U513" s="168">
        <f t="shared" si="90"/>
        <v>0</v>
      </c>
      <c r="V513" s="168"/>
      <c r="W513" s="169">
        <f t="shared" si="91"/>
        <v>0</v>
      </c>
      <c r="X513" s="168">
        <f t="shared" si="92"/>
        <v>0</v>
      </c>
      <c r="Y513" s="168">
        <f t="shared" si="93"/>
        <v>0</v>
      </c>
      <c r="Z513" s="215">
        <f t="shared" si="94"/>
        <v>0</v>
      </c>
      <c r="AA513" s="169" t="b">
        <f t="shared" si="61"/>
        <v>0</v>
      </c>
      <c r="AB513" s="168" t="b">
        <f t="shared" si="62"/>
        <v>0</v>
      </c>
      <c r="AC513" s="168" t="b">
        <f t="shared" si="63"/>
        <v>0</v>
      </c>
      <c r="AD513" s="215" t="b">
        <f t="shared" si="64"/>
        <v>0</v>
      </c>
      <c r="AE513" s="349">
        <f ca="1">IF(AND(Elem!D21&lt;&gt;"",Elem!AO21=""),OFFSET(Spells!H$2,AA513,0),"")</f>
      </c>
      <c r="AF513" s="349">
        <f ca="1">IF(AND(Ill!D21&lt;&gt;"",Ill!AO21=""),OFFSET(Spells!R$2,AB513,0),"")</f>
      </c>
      <c r="AG513" s="349">
        <f ca="1">IF(AND(Neth!D21&lt;&gt;"",Neth!AO21=""),OFFSET(Spells!AB$2,AC513,0),"")</f>
      </c>
      <c r="AH513" s="319">
        <f ca="1">IF(AND(Wiz!D21&lt;&gt;"",Wiz!AO21=""),OFFSET(Spells!AL$2,AD513,0),"")</f>
      </c>
      <c r="AI513" s="170" t="str">
        <f t="shared" si="113"/>
        <v> </v>
      </c>
      <c r="AJ513" s="168">
        <f t="shared" si="114"/>
        <v>0</v>
      </c>
      <c r="AK513" s="168">
        <f ca="1" t="shared" si="67"/>
        <v>0</v>
      </c>
      <c r="AL513" s="168">
        <f t="shared" si="115"/>
        <v>0</v>
      </c>
      <c r="AM513" s="215" t="b">
        <f t="shared" si="68"/>
        <v>0</v>
      </c>
      <c r="AN513" s="170" t="str">
        <f t="shared" si="69"/>
        <v> </v>
      </c>
      <c r="AO513" s="168">
        <f t="shared" si="70"/>
        <v>0</v>
      </c>
      <c r="AP513" s="168">
        <f ca="1" t="shared" si="96"/>
        <v>0</v>
      </c>
      <c r="AQ513" s="168" t="str">
        <f t="shared" si="71"/>
        <v> </v>
      </c>
      <c r="AR513" s="168">
        <f t="shared" si="97"/>
        <v>0</v>
      </c>
      <c r="AS513" s="215" t="b">
        <f t="shared" si="72"/>
        <v>0</v>
      </c>
      <c r="AT513" s="170" t="e">
        <f t="shared" si="110"/>
        <v>#N/A</v>
      </c>
      <c r="AU513" s="249" t="e">
        <f>IF(AT513&lt;&gt;" ",MATCH(AT513,Talents!H$3:H$129))</f>
        <v>#N/A</v>
      </c>
      <c r="AV513" s="249" t="e">
        <f ca="1">IF(AU513,OFFSET(Talents!I$2,Build!AU513,0)," ")</f>
        <v>#N/A</v>
      </c>
      <c r="AW513" s="168" t="e">
        <f ca="1">IF(AU513,OFFSET(Talents!K$2,Build!AU513,0)," ")</f>
        <v>#N/A</v>
      </c>
      <c r="AX513" s="168" t="e">
        <f ca="1">IF(AU513,OFFSET(Talents!J$2,Build!AU513,0)," ")</f>
        <v>#N/A</v>
      </c>
      <c r="AY513" s="168" t="e">
        <f ca="1">IF(AU513,OFFSET(Talents!L$2,Build!AU513,0)," ")</f>
        <v>#N/A</v>
      </c>
      <c r="AZ513" s="168" t="e">
        <f ca="1">VALUE(RIGHT("00"&amp;OFFSET(Front!Q$13,MATCH(AV513,Front!A$14:A$43,0),0),2))</f>
        <v>#N/A</v>
      </c>
      <c r="BA513" s="168">
        <f t="shared" si="98"/>
        <v>0</v>
      </c>
      <c r="BB513" s="168" t="b">
        <f t="shared" si="73"/>
        <v>0</v>
      </c>
      <c r="BC513" s="169">
        <f t="shared" si="99"/>
        <v>0</v>
      </c>
      <c r="BD513" s="168" t="b">
        <f t="shared" si="74"/>
        <v>0</v>
      </c>
      <c r="BE513" s="215">
        <f ca="1" t="shared" si="75"/>
        <v>0</v>
      </c>
      <c r="BF513" s="249" t="str">
        <f t="shared" si="111"/>
        <v> </v>
      </c>
      <c r="BG513" s="168">
        <f t="shared" si="112"/>
        <v>3</v>
      </c>
      <c r="BH513" s="168">
        <f t="shared" si="107"/>
        <v>0</v>
      </c>
      <c r="BI513" s="171">
        <f t="shared" si="100"/>
      </c>
      <c r="BQ513" s="211">
        <f t="shared" si="108"/>
        <v>15</v>
      </c>
      <c r="BR513" s="249" t="str">
        <f t="shared" si="81"/>
        <v>Brooch, Ornamental</v>
      </c>
      <c r="BS513" s="168">
        <f t="shared" si="82"/>
        <v>0</v>
      </c>
      <c r="BT513" s="168">
        <f t="shared" si="83"/>
        <v>12</v>
      </c>
      <c r="BU513" s="168" t="s">
        <v>2584</v>
      </c>
      <c r="BV513" s="249">
        <f t="shared" si="103"/>
        <v>7</v>
      </c>
      <c r="BW513" s="249" t="str">
        <f t="shared" si="104"/>
        <v>Ornamental Brooch</v>
      </c>
      <c r="BX513" s="249" t="str">
        <f t="shared" si="105"/>
        <v> </v>
      </c>
      <c r="BY513" s="168">
        <f t="shared" si="109"/>
        <v>0</v>
      </c>
      <c r="BZ513" s="215" t="b">
        <f t="shared" si="106"/>
        <v>0</v>
      </c>
    </row>
    <row r="514" spans="2:78" ht="12.75">
      <c r="B514" s="137">
        <v>5</v>
      </c>
      <c r="C514" s="112" t="str">
        <f t="shared" si="54"/>
        <v> </v>
      </c>
      <c r="D514" s="112" t="str">
        <f t="shared" si="84"/>
        <v> </v>
      </c>
      <c r="E514" s="122">
        <f t="shared" si="55"/>
        <v>0</v>
      </c>
      <c r="F514" s="134">
        <f ca="1" t="shared" si="116"/>
        <v>0</v>
      </c>
      <c r="G514" s="122">
        <f>IF(C514&lt;&gt;" ",MATCH(D514,Talents!B$3:B$278,1),0)</f>
        <v>0</v>
      </c>
      <c r="H514" s="122" t="str">
        <f ca="1">IF(G514=0," ",OFFSET(Talents!C$2,G514,0))</f>
        <v> </v>
      </c>
      <c r="I514" s="122" t="str">
        <f ca="1">IF(G514=0," ",OFFSET(Talents!D$2,G514,0))</f>
        <v> </v>
      </c>
      <c r="J514" s="122" t="str">
        <f t="shared" si="86"/>
        <v> </v>
      </c>
      <c r="K514" s="122">
        <f t="shared" si="56"/>
        <v>0</v>
      </c>
      <c r="L514" s="122" t="str">
        <f t="shared" si="57"/>
        <v> </v>
      </c>
      <c r="M514" s="122" t="str">
        <f ca="1" t="shared" si="87"/>
        <v>-</v>
      </c>
      <c r="N514" s="112" t="b">
        <f t="shared" si="58"/>
        <v>0</v>
      </c>
      <c r="O514" s="122" t="str">
        <f ca="1">IF(G514&gt;0,IF(N514,"D",OFFSET(Talents!E$2,G514,0))&amp;OFFSET(Talents!F$2,G514,0)," ")</f>
        <v> </v>
      </c>
      <c r="P514" s="122" t="b">
        <f t="shared" si="59"/>
        <v>0</v>
      </c>
      <c r="Q514" s="169">
        <f t="shared" si="88"/>
        <v>0</v>
      </c>
      <c r="R514" s="215" t="b">
        <f t="shared" si="60"/>
        <v>0</v>
      </c>
      <c r="S514" s="168">
        <f t="shared" si="89"/>
        <v>0</v>
      </c>
      <c r="T514" s="215"/>
      <c r="U514" s="168">
        <f t="shared" si="90"/>
        <v>0</v>
      </c>
      <c r="V514" s="168"/>
      <c r="W514" s="169">
        <f t="shared" si="91"/>
        <v>0</v>
      </c>
      <c r="X514" s="168">
        <f t="shared" si="92"/>
        <v>0</v>
      </c>
      <c r="Y514" s="168">
        <f t="shared" si="93"/>
        <v>0</v>
      </c>
      <c r="Z514" s="215">
        <f t="shared" si="94"/>
        <v>0</v>
      </c>
      <c r="AA514" s="169" t="b">
        <f t="shared" si="61"/>
        <v>0</v>
      </c>
      <c r="AB514" s="168" t="b">
        <f t="shared" si="62"/>
        <v>0</v>
      </c>
      <c r="AC514" s="168" t="b">
        <f t="shared" si="63"/>
        <v>0</v>
      </c>
      <c r="AD514" s="215" t="b">
        <f t="shared" si="64"/>
        <v>0</v>
      </c>
      <c r="AE514" s="349">
        <f ca="1">IF(AND(Elem!D22&lt;&gt;"",Elem!AO22=""),OFFSET(Spells!H$2,AA514,0),"")</f>
      </c>
      <c r="AF514" s="349">
        <f ca="1">IF(AND(Ill!D22&lt;&gt;"",Ill!AO22=""),OFFSET(Spells!R$2,AB514,0),"")</f>
      </c>
      <c r="AG514" s="349">
        <f ca="1">IF(AND(Neth!D22&lt;&gt;"",Neth!AO22=""),OFFSET(Spells!AB$2,AC514,0),"")</f>
      </c>
      <c r="AH514" s="319">
        <f ca="1">IF(AND(Wiz!D22&lt;&gt;"",Wiz!AO22=""),OFFSET(Spells!AL$2,AD514,0),"")</f>
      </c>
      <c r="AI514" s="170" t="str">
        <f t="shared" si="113"/>
        <v> </v>
      </c>
      <c r="AJ514" s="168">
        <f t="shared" si="114"/>
        <v>0</v>
      </c>
      <c r="AK514" s="168">
        <f ca="1" t="shared" si="67"/>
        <v>0</v>
      </c>
      <c r="AL514" s="168">
        <f t="shared" si="115"/>
        <v>0</v>
      </c>
      <c r="AM514" s="215"/>
      <c r="AN514" s="170" t="str">
        <f t="shared" si="69"/>
        <v> </v>
      </c>
      <c r="AO514" s="168">
        <f t="shared" si="70"/>
        <v>0</v>
      </c>
      <c r="AP514" s="168">
        <f ca="1" t="shared" si="96"/>
        <v>0</v>
      </c>
      <c r="AQ514" s="168" t="str">
        <f t="shared" si="71"/>
        <v> </v>
      </c>
      <c r="AR514" s="168">
        <f t="shared" si="97"/>
        <v>0</v>
      </c>
      <c r="AS514" s="215" t="b">
        <f t="shared" si="72"/>
        <v>0</v>
      </c>
      <c r="AT514" s="170" t="e">
        <f t="shared" si="110"/>
        <v>#N/A</v>
      </c>
      <c r="AU514" s="249" t="e">
        <f>IF(AT514&lt;&gt;" ",MATCH(AT514,Talents!H$3:H$129))</f>
        <v>#N/A</v>
      </c>
      <c r="AV514" s="249" t="e">
        <f ca="1">IF(AU514,OFFSET(Talents!I$2,Build!AU514,0)," ")</f>
        <v>#N/A</v>
      </c>
      <c r="AW514" s="168" t="e">
        <f ca="1">IF(AU514,OFFSET(Talents!K$2,Build!AU514,0)," ")</f>
        <v>#N/A</v>
      </c>
      <c r="AX514" s="168" t="e">
        <f ca="1">IF(AU514,OFFSET(Talents!J$2,Build!AU514,0)," ")</f>
        <v>#N/A</v>
      </c>
      <c r="AY514" s="168" t="e">
        <f ca="1">IF(AU514,OFFSET(Talents!L$2,Build!AU514,0)," ")</f>
        <v>#N/A</v>
      </c>
      <c r="AZ514" s="168" t="e">
        <f ca="1">VALUE(RIGHT("00"&amp;OFFSET(Front!Q$13,MATCH(AV514,Front!A$14:A$43,0),0),2))</f>
        <v>#N/A</v>
      </c>
      <c r="BA514" s="168">
        <f t="shared" si="98"/>
        <v>0</v>
      </c>
      <c r="BB514" s="168" t="b">
        <f t="shared" si="73"/>
        <v>0</v>
      </c>
      <c r="BC514" s="130">
        <f t="shared" si="99"/>
        <v>0</v>
      </c>
      <c r="BD514" s="131" t="b">
        <f t="shared" si="74"/>
        <v>0</v>
      </c>
      <c r="BE514" s="132">
        <f ca="1" t="shared" si="75"/>
        <v>0</v>
      </c>
      <c r="BF514" s="249" t="str">
        <f t="shared" si="111"/>
        <v> </v>
      </c>
      <c r="BG514" s="168">
        <f t="shared" si="112"/>
        <v>10</v>
      </c>
      <c r="BH514" s="168">
        <f t="shared" si="107"/>
        <v>0</v>
      </c>
      <c r="BI514" s="171">
        <f t="shared" si="100"/>
      </c>
      <c r="BQ514" s="211">
        <f t="shared" si="108"/>
        <v>16</v>
      </c>
      <c r="BR514" s="249" t="str">
        <f t="shared" si="81"/>
        <v>Brooch, Silver</v>
      </c>
      <c r="BS514" s="168">
        <f t="shared" si="82"/>
        <v>0</v>
      </c>
      <c r="BT514" s="168">
        <f t="shared" si="83"/>
        <v>15</v>
      </c>
      <c r="BU514" s="168" t="s">
        <v>2584</v>
      </c>
      <c r="BV514" s="249">
        <f t="shared" si="103"/>
        <v>7</v>
      </c>
      <c r="BW514" s="249" t="str">
        <f t="shared" si="104"/>
        <v>Silver Brooch</v>
      </c>
      <c r="BX514" s="249" t="str">
        <f t="shared" si="105"/>
        <v> </v>
      </c>
      <c r="BY514" s="168">
        <f t="shared" si="109"/>
        <v>0</v>
      </c>
      <c r="BZ514" s="215" t="b">
        <f t="shared" si="106"/>
        <v>0</v>
      </c>
    </row>
    <row r="515" spans="2:78" ht="12.75">
      <c r="B515" s="137">
        <v>6</v>
      </c>
      <c r="C515" s="112" t="str">
        <f t="shared" si="54"/>
        <v> </v>
      </c>
      <c r="D515" s="112" t="str">
        <f t="shared" si="84"/>
        <v> </v>
      </c>
      <c r="E515" s="122">
        <f t="shared" si="55"/>
        <v>0</v>
      </c>
      <c r="F515" s="134">
        <f ca="1" t="shared" si="116"/>
        <v>0</v>
      </c>
      <c r="G515" s="122">
        <f>IF(C515&lt;&gt;" ",MATCH(D515,Talents!B$3:B$278,1),0)</f>
        <v>0</v>
      </c>
      <c r="H515" s="122" t="str">
        <f ca="1">IF(G515=0," ",OFFSET(Talents!C$2,G515,0))</f>
        <v> </v>
      </c>
      <c r="I515" s="122" t="str">
        <f ca="1">IF(G515=0," ",OFFSET(Talents!D$2,G515,0))</f>
        <v> </v>
      </c>
      <c r="J515" s="122" t="str">
        <f t="shared" si="86"/>
        <v> </v>
      </c>
      <c r="K515" s="122">
        <f t="shared" si="56"/>
        <v>0</v>
      </c>
      <c r="L515" s="122" t="str">
        <f t="shared" si="57"/>
        <v> </v>
      </c>
      <c r="M515" s="122" t="str">
        <f ca="1" t="shared" si="87"/>
        <v>-</v>
      </c>
      <c r="N515" s="112" t="b">
        <f t="shared" si="58"/>
        <v>0</v>
      </c>
      <c r="O515" s="122" t="str">
        <f ca="1">IF(G515&gt;0,IF(N515,"D",OFFSET(Talents!E$2,G515,0))&amp;OFFSET(Talents!F$2,G515,0)," ")</f>
        <v> </v>
      </c>
      <c r="P515" s="122" t="b">
        <f t="shared" si="59"/>
        <v>0</v>
      </c>
      <c r="Q515" s="169">
        <f t="shared" si="88"/>
        <v>0</v>
      </c>
      <c r="R515" s="215" t="b">
        <f t="shared" si="60"/>
        <v>0</v>
      </c>
      <c r="S515" s="168">
        <f t="shared" si="89"/>
        <v>0</v>
      </c>
      <c r="T515" s="215"/>
      <c r="U515" s="168">
        <f t="shared" si="90"/>
        <v>0</v>
      </c>
      <c r="V515" s="168"/>
      <c r="W515" s="169">
        <f t="shared" si="91"/>
        <v>0</v>
      </c>
      <c r="X515" s="168">
        <f t="shared" si="92"/>
        <v>0</v>
      </c>
      <c r="Y515" s="168">
        <f t="shared" si="93"/>
        <v>0</v>
      </c>
      <c r="Z515" s="215">
        <f t="shared" si="94"/>
        <v>0</v>
      </c>
      <c r="AA515" s="169" t="b">
        <f t="shared" si="61"/>
        <v>0</v>
      </c>
      <c r="AB515" s="168" t="b">
        <f t="shared" si="62"/>
        <v>0</v>
      </c>
      <c r="AC515" s="168" t="b">
        <f t="shared" si="63"/>
        <v>0</v>
      </c>
      <c r="AD515" s="215" t="b">
        <f t="shared" si="64"/>
        <v>0</v>
      </c>
      <c r="AE515" s="349">
        <f ca="1">IF(AND(Elem!D23&lt;&gt;"",Elem!AO23=""),OFFSET(Spells!H$2,AA515,0),"")</f>
      </c>
      <c r="AF515" s="349">
        <f ca="1">IF(AND(Ill!D23&lt;&gt;"",Ill!AO23=""),OFFSET(Spells!R$2,AB515,0),"")</f>
      </c>
      <c r="AG515" s="349">
        <f ca="1">IF(AND(Neth!D23&lt;&gt;"",Neth!AO23=""),OFFSET(Spells!AB$2,AC515,0),"")</f>
      </c>
      <c r="AH515" s="319">
        <f ca="1">IF(AND(Wiz!D23&lt;&gt;"",Wiz!AO23=""),OFFSET(Spells!AL$2,AD515,0),"")</f>
      </c>
      <c r="AI515" s="170" t="str">
        <f t="shared" si="113"/>
        <v> </v>
      </c>
      <c r="AJ515" s="168">
        <f t="shared" si="114"/>
        <v>0</v>
      </c>
      <c r="AK515" s="168">
        <f ca="1" t="shared" si="67"/>
        <v>0</v>
      </c>
      <c r="AL515" s="168">
        <f t="shared" si="115"/>
        <v>0</v>
      </c>
      <c r="AM515" s="215"/>
      <c r="AN515" s="170" t="str">
        <f t="shared" si="69"/>
        <v> </v>
      </c>
      <c r="AO515" s="168">
        <f t="shared" si="70"/>
        <v>0</v>
      </c>
      <c r="AP515" s="168">
        <f ca="1" t="shared" si="96"/>
        <v>0</v>
      </c>
      <c r="AQ515" s="168" t="str">
        <f t="shared" si="71"/>
        <v> </v>
      </c>
      <c r="AR515" s="168">
        <f t="shared" si="97"/>
        <v>0</v>
      </c>
      <c r="AS515" s="215" t="b">
        <f t="shared" si="72"/>
        <v>0</v>
      </c>
      <c r="AT515" s="170" t="e">
        <f t="shared" si="110"/>
        <v>#N/A</v>
      </c>
      <c r="AU515" s="249" t="e">
        <f>IF(AT515&lt;&gt;" ",MATCH(AT515,Talents!H$3:H$129))</f>
        <v>#N/A</v>
      </c>
      <c r="AV515" s="249" t="e">
        <f ca="1">IF(AU515,OFFSET(Talents!I$2,Build!AU515,0)," ")</f>
        <v>#N/A</v>
      </c>
      <c r="AW515" s="168" t="e">
        <f ca="1">IF(AU515,OFFSET(Talents!K$2,Build!AU515,0)," ")</f>
        <v>#N/A</v>
      </c>
      <c r="AX515" s="168" t="e">
        <f ca="1">IF(AU515,OFFSET(Talents!J$2,Build!AU515,0)," ")</f>
        <v>#N/A</v>
      </c>
      <c r="AY515" s="168" t="e">
        <f ca="1">IF(AU515,OFFSET(Talents!L$2,Build!AU515,0)," ")</f>
        <v>#N/A</v>
      </c>
      <c r="AZ515" s="168" t="e">
        <f ca="1">VALUE(RIGHT("00"&amp;OFFSET(Front!Q$13,MATCH(AV515,Front!A$14:A$43,0),0),2))</f>
        <v>#N/A</v>
      </c>
      <c r="BA515" s="168">
        <f t="shared" si="98"/>
        <v>0</v>
      </c>
      <c r="BB515" s="215" t="b">
        <f t="shared" si="73"/>
        <v>0</v>
      </c>
      <c r="BC515" s="106"/>
      <c r="BD515" s="106"/>
      <c r="BF515" s="170" t="str">
        <f t="shared" si="111"/>
        <v> </v>
      </c>
      <c r="BG515" s="168">
        <f t="shared" si="112"/>
        <v>10</v>
      </c>
      <c r="BH515" s="168">
        <f t="shared" si="107"/>
        <v>0</v>
      </c>
      <c r="BI515" s="171">
        <f>IF(BF515&lt;&gt;" ",", "&amp;BF515&amp;" ("&amp;BG515&amp;")","")</f>
      </c>
      <c r="BQ515" s="211">
        <f t="shared" si="108"/>
        <v>17</v>
      </c>
      <c r="BR515" s="249" t="str">
        <f aca="true" t="shared" si="117" ref="BR515:BR530">H182</f>
        <v>Brooch, Gold</v>
      </c>
      <c r="BS515" s="168">
        <f aca="true" t="shared" si="118" ref="BS515:BS530">K182</f>
        <v>0</v>
      </c>
      <c r="BT515" s="168">
        <f aca="true" t="shared" si="119" ref="BT515:BT530">L182</f>
        <v>120</v>
      </c>
      <c r="BU515" s="168" t="s">
        <v>2584</v>
      </c>
      <c r="BV515" s="249">
        <f t="shared" si="103"/>
        <v>7</v>
      </c>
      <c r="BW515" s="249" t="str">
        <f t="shared" si="104"/>
        <v>Gold Brooch</v>
      </c>
      <c r="BX515" s="249" t="str">
        <f t="shared" si="105"/>
        <v> </v>
      </c>
      <c r="BY515" s="168">
        <f t="shared" si="109"/>
        <v>0</v>
      </c>
      <c r="BZ515" s="215" t="b">
        <f t="shared" si="106"/>
        <v>0</v>
      </c>
    </row>
    <row r="516" spans="2:78" ht="12.75">
      <c r="B516" s="137">
        <v>6</v>
      </c>
      <c r="C516" s="112" t="str">
        <f t="shared" si="54"/>
        <v> </v>
      </c>
      <c r="D516" s="112" t="str">
        <f t="shared" si="84"/>
        <v> </v>
      </c>
      <c r="E516" s="122">
        <f t="shared" si="55"/>
        <v>0</v>
      </c>
      <c r="F516" s="134">
        <f ca="1" t="shared" si="116"/>
        <v>0</v>
      </c>
      <c r="G516" s="122">
        <f>IF(C516&lt;&gt;" ",MATCH(D516,Talents!B$3:B$278,1),0)</f>
        <v>0</v>
      </c>
      <c r="H516" s="122" t="str">
        <f ca="1">IF(G516=0," ",OFFSET(Talents!C$2,G516,0))</f>
        <v> </v>
      </c>
      <c r="I516" s="122" t="str">
        <f ca="1">IF(G516=0," ",OFFSET(Talents!D$2,G516,0))</f>
        <v> </v>
      </c>
      <c r="J516" s="122" t="str">
        <f t="shared" si="86"/>
        <v> </v>
      </c>
      <c r="K516" s="122">
        <f t="shared" si="56"/>
        <v>0</v>
      </c>
      <c r="L516" s="122" t="str">
        <f t="shared" si="57"/>
        <v> </v>
      </c>
      <c r="M516" s="122" t="str">
        <f ca="1" t="shared" si="87"/>
        <v>-</v>
      </c>
      <c r="N516" s="112" t="b">
        <f t="shared" si="58"/>
        <v>0</v>
      </c>
      <c r="O516" s="122" t="str">
        <f ca="1">IF(G516&gt;0,IF(N516,"D",OFFSET(Talents!E$2,G516,0))&amp;OFFSET(Talents!F$2,G516,0)," ")</f>
        <v> </v>
      </c>
      <c r="P516" s="122" t="b">
        <f t="shared" si="59"/>
        <v>0</v>
      </c>
      <c r="Q516" s="169">
        <f t="shared" si="88"/>
        <v>0</v>
      </c>
      <c r="R516" s="215" t="b">
        <f t="shared" si="60"/>
        <v>0</v>
      </c>
      <c r="S516" s="168">
        <f t="shared" si="89"/>
        <v>0</v>
      </c>
      <c r="T516" s="215"/>
      <c r="U516" s="168">
        <f t="shared" si="90"/>
        <v>0</v>
      </c>
      <c r="V516" s="168"/>
      <c r="W516" s="169">
        <f t="shared" si="91"/>
        <v>0</v>
      </c>
      <c r="X516" s="168">
        <f t="shared" si="92"/>
        <v>0</v>
      </c>
      <c r="Y516" s="168">
        <f t="shared" si="93"/>
        <v>0</v>
      </c>
      <c r="Z516" s="215">
        <f t="shared" si="94"/>
        <v>0</v>
      </c>
      <c r="AA516" s="169" t="b">
        <f t="shared" si="61"/>
        <v>0</v>
      </c>
      <c r="AB516" s="168" t="b">
        <f t="shared" si="62"/>
        <v>0</v>
      </c>
      <c r="AC516" s="168" t="b">
        <f t="shared" si="63"/>
        <v>0</v>
      </c>
      <c r="AD516" s="215" t="b">
        <f t="shared" si="64"/>
        <v>0</v>
      </c>
      <c r="AE516" s="349">
        <f ca="1">IF(AND(Elem!D24&lt;&gt;"",Elem!AO24=""),OFFSET(Spells!H$2,AA516,0),"")</f>
      </c>
      <c r="AF516" s="349">
        <f ca="1">IF(AND(Ill!D24&lt;&gt;"",Ill!AO24=""),OFFSET(Spells!R$2,AB516,0),"")</f>
      </c>
      <c r="AG516" s="349">
        <f ca="1">IF(AND(Neth!D24&lt;&gt;"",Neth!AO24=""),OFFSET(Spells!AB$2,AC516,0),"")</f>
      </c>
      <c r="AH516" s="319">
        <f ca="1">IF(AND(Wiz!D24&lt;&gt;"",Wiz!AO24=""),OFFSET(Spells!AL$2,AD516,0),"")</f>
      </c>
      <c r="AI516" s="170" t="str">
        <f t="shared" si="113"/>
        <v> </v>
      </c>
      <c r="AJ516" s="168">
        <f t="shared" si="114"/>
        <v>0</v>
      </c>
      <c r="AK516" s="168">
        <f ca="1" t="shared" si="67"/>
        <v>0</v>
      </c>
      <c r="AL516" s="168">
        <f t="shared" si="115"/>
        <v>0</v>
      </c>
      <c r="AM516" s="215"/>
      <c r="AN516" s="170" t="str">
        <f aca="true" t="shared" si="120" ref="AN516:AN527">B92&amp;IF(H92&lt;&gt;""," ("&amp;H92&amp;")","")</f>
        <v>Acting</v>
      </c>
      <c r="AO516" s="168">
        <f aca="true" t="shared" si="121" ref="AO516:AO527">F92</f>
        <v>0</v>
      </c>
      <c r="AP516" s="168">
        <f ca="1" t="shared" si="96"/>
        <v>0</v>
      </c>
      <c r="AQ516" s="168" t="str">
        <f aca="true" t="shared" si="122" ref="AQ516:AQ527">G92</f>
        <v>C</v>
      </c>
      <c r="AR516" s="168">
        <f>AR515+IF(AND(AN516&lt;&gt;" ",AO516&gt;0),1,0)</f>
        <v>0</v>
      </c>
      <c r="AS516" s="168"/>
      <c r="AT516" s="170" t="e">
        <f t="shared" si="110"/>
        <v>#N/A</v>
      </c>
      <c r="AU516" s="249" t="e">
        <f>IF(AT516&lt;&gt;" ",MATCH(AT516,Talents!H$3:H$129))</f>
        <v>#N/A</v>
      </c>
      <c r="AV516" s="249" t="e">
        <f ca="1">IF(AU516,OFFSET(Talents!I$2,Build!AU516,0)," ")</f>
        <v>#N/A</v>
      </c>
      <c r="AW516" s="168" t="e">
        <f ca="1">IF(AU516,OFFSET(Talents!K$2,Build!AU516,0)," ")</f>
        <v>#N/A</v>
      </c>
      <c r="AX516" s="168" t="e">
        <f ca="1">IF(AU516,OFFSET(Talents!J$2,Build!AU516,0)," ")</f>
        <v>#N/A</v>
      </c>
      <c r="AY516" s="168" t="e">
        <f ca="1">IF(AU516,OFFSET(Talents!L$2,Build!AU516,0)," ")</f>
        <v>#N/A</v>
      </c>
      <c r="AZ516" s="168" t="e">
        <f ca="1">VALUE(RIGHT("00"&amp;OFFSET(Front!Q$13,MATCH(AV516,Front!A$14:A$43,0),0),2))</f>
        <v>#N/A</v>
      </c>
      <c r="BA516" s="168">
        <f t="shared" si="98"/>
        <v>0</v>
      </c>
      <c r="BB516" s="215" t="b">
        <f t="shared" si="73"/>
        <v>0</v>
      </c>
      <c r="BC516" s="106"/>
      <c r="BD516" s="106"/>
      <c r="BF516" s="170" t="str">
        <f t="shared" si="111"/>
        <v> </v>
      </c>
      <c r="BG516" s="168">
        <f t="shared" si="112"/>
        <v>10</v>
      </c>
      <c r="BH516" s="168">
        <f>BH515+IF(BF516&lt;&gt;" ",BG516,0)</f>
        <v>0</v>
      </c>
      <c r="BI516" s="171">
        <f>BI517&amp;IF(BF516&lt;&gt;" ",", "&amp;BF516&amp;" ("&amp;BG516&amp;")","")</f>
      </c>
      <c r="BQ516" s="211">
        <f t="shared" si="108"/>
        <v>18</v>
      </c>
      <c r="BR516" s="249" t="str">
        <f t="shared" si="117"/>
        <v>Brooch, Cloaksense</v>
      </c>
      <c r="BS516" s="168">
        <f t="shared" si="118"/>
        <v>0</v>
      </c>
      <c r="BT516" s="168">
        <f t="shared" si="119"/>
        <v>350</v>
      </c>
      <c r="BU516" s="168" t="s">
        <v>2584</v>
      </c>
      <c r="BV516" s="249">
        <f t="shared" si="103"/>
        <v>7</v>
      </c>
      <c r="BW516" s="249" t="str">
        <f t="shared" si="104"/>
        <v>Cloaksense Brooch</v>
      </c>
      <c r="BX516" s="249" t="str">
        <f t="shared" si="105"/>
        <v> </v>
      </c>
      <c r="BY516" s="168">
        <f t="shared" si="109"/>
        <v>0</v>
      </c>
      <c r="BZ516" s="215" t="b">
        <f t="shared" si="106"/>
        <v>0</v>
      </c>
    </row>
    <row r="517" spans="2:78" ht="12.75">
      <c r="B517" s="137">
        <v>7</v>
      </c>
      <c r="C517" s="112" t="str">
        <f t="shared" si="54"/>
        <v> </v>
      </c>
      <c r="D517" s="112" t="str">
        <f t="shared" si="84"/>
        <v> </v>
      </c>
      <c r="E517" s="122">
        <f t="shared" si="55"/>
        <v>0</v>
      </c>
      <c r="F517" s="134">
        <f ca="1" t="shared" si="116"/>
        <v>0</v>
      </c>
      <c r="G517" s="122">
        <f>IF(C517&lt;&gt;" ",MATCH(D517,Talents!B$3:B$278,1),0)</f>
        <v>0</v>
      </c>
      <c r="H517" s="122" t="str">
        <f ca="1">IF(G517=0," ",OFFSET(Talents!C$2,G517,0))</f>
        <v> </v>
      </c>
      <c r="I517" s="122" t="str">
        <f ca="1">IF(G517=0," ",OFFSET(Talents!D$2,G517,0))</f>
        <v> </v>
      </c>
      <c r="J517" s="122" t="str">
        <f t="shared" si="86"/>
        <v> </v>
      </c>
      <c r="K517" s="122">
        <f t="shared" si="56"/>
        <v>0</v>
      </c>
      <c r="L517" s="122" t="str">
        <f t="shared" si="57"/>
        <v> </v>
      </c>
      <c r="M517" s="122" t="str">
        <f ca="1" t="shared" si="87"/>
        <v>-</v>
      </c>
      <c r="N517" s="112" t="b">
        <f t="shared" si="58"/>
        <v>0</v>
      </c>
      <c r="O517" s="122" t="str">
        <f ca="1">IF(G517&gt;0,IF(N517,"D",OFFSET(Talents!E$2,G517,0))&amp;OFFSET(Talents!F$2,G517,0)," ")</f>
        <v> </v>
      </c>
      <c r="P517" s="122" t="b">
        <f t="shared" si="59"/>
        <v>0</v>
      </c>
      <c r="Q517" s="169">
        <f t="shared" si="88"/>
        <v>0</v>
      </c>
      <c r="R517" s="215" t="b">
        <f t="shared" si="60"/>
        <v>0</v>
      </c>
      <c r="S517" s="168">
        <f t="shared" si="89"/>
        <v>0</v>
      </c>
      <c r="T517" s="215"/>
      <c r="U517" s="168">
        <f t="shared" si="90"/>
        <v>0</v>
      </c>
      <c r="V517" s="168"/>
      <c r="W517" s="169">
        <f t="shared" si="91"/>
        <v>0</v>
      </c>
      <c r="X517" s="168">
        <f t="shared" si="92"/>
        <v>0</v>
      </c>
      <c r="Y517" s="168">
        <f t="shared" si="93"/>
        <v>0</v>
      </c>
      <c r="Z517" s="215">
        <f t="shared" si="94"/>
        <v>0</v>
      </c>
      <c r="AA517" s="169" t="b">
        <f t="shared" si="61"/>
        <v>0</v>
      </c>
      <c r="AB517" s="168" t="b">
        <f t="shared" si="62"/>
        <v>0</v>
      </c>
      <c r="AC517" s="168" t="b">
        <f t="shared" si="63"/>
        <v>0</v>
      </c>
      <c r="AD517" s="215" t="b">
        <f t="shared" si="64"/>
        <v>0</v>
      </c>
      <c r="AE517" s="349">
        <f ca="1">IF(AND(Elem!D25&lt;&gt;"",Elem!AO25=""),OFFSET(Spells!H$2,AA517,0),"")</f>
      </c>
      <c r="AF517" s="349">
        <f ca="1">IF(AND(Ill!D25&lt;&gt;"",Ill!AO25=""),OFFSET(Spells!R$2,AB517,0),"")</f>
      </c>
      <c r="AG517" s="349">
        <f ca="1">IF(AND(Neth!D25&lt;&gt;"",Neth!AO25=""),OFFSET(Spells!AB$2,AC517,0),"")</f>
      </c>
      <c r="AH517" s="319">
        <f ca="1">IF(AND(Wiz!D25&lt;&gt;"",Wiz!AO25=""),OFFSET(Spells!AL$2,AD517,0),"")</f>
      </c>
      <c r="AI517" s="170" t="str">
        <f t="shared" si="113"/>
        <v> </v>
      </c>
      <c r="AJ517" s="168">
        <f t="shared" si="114"/>
        <v>0</v>
      </c>
      <c r="AK517" s="168">
        <f ca="1" t="shared" si="67"/>
        <v>0</v>
      </c>
      <c r="AL517" s="168">
        <f t="shared" si="115"/>
        <v>0</v>
      </c>
      <c r="AM517" s="215"/>
      <c r="AN517" s="170" t="str">
        <f t="shared" si="120"/>
        <v>Artist</v>
      </c>
      <c r="AO517" s="168">
        <f t="shared" si="121"/>
        <v>0</v>
      </c>
      <c r="AP517" s="168">
        <f ca="1" t="shared" si="96"/>
        <v>0</v>
      </c>
      <c r="AQ517" s="168" t="str">
        <f t="shared" si="122"/>
        <v>C</v>
      </c>
      <c r="AR517" s="168">
        <f t="shared" si="97"/>
        <v>0</v>
      </c>
      <c r="AS517" s="168"/>
      <c r="AT517" s="170" t="str">
        <f aca="true" t="shared" si="123" ref="AT517:AT529">IF(Dicipline2&lt;&gt;"",HLOOKUP(Dicipline2,knackfordic,BQ500)," ")</f>
        <v> </v>
      </c>
      <c r="AU517" s="249" t="e">
        <f>IF(AND(AT517&lt;&gt;" ",NOT(MATCH(AT517,AT$504:AT$516))),MATCH(AT517,Talents!H$3:H$129))</f>
        <v>#N/A</v>
      </c>
      <c r="AV517" s="249" t="e">
        <f ca="1">IF(AU517,OFFSET(Talents!I$2,Build!AU517,0)," ")</f>
        <v>#N/A</v>
      </c>
      <c r="AW517" s="168" t="e">
        <f ca="1">IF(AU517,OFFSET(Talents!K$2,Build!AU517,0)," ")</f>
        <v>#N/A</v>
      </c>
      <c r="AX517" s="168" t="e">
        <f ca="1">IF(AU517,OFFSET(Talents!J$2,Build!AU517,0)," ")</f>
        <v>#N/A</v>
      </c>
      <c r="AY517" s="168" t="e">
        <f ca="1">IF(AU517,OFFSET(Talents!L$2,Build!AU517,0)," ")</f>
        <v>#N/A</v>
      </c>
      <c r="AZ517" s="168" t="e">
        <f ca="1">VALUE(RIGHT("00"&amp;OFFSET(Front!Q$13,MATCH(AV517,Front!A$14:A$43,0),0),2))</f>
        <v>#N/A</v>
      </c>
      <c r="BA517" s="168">
        <f t="shared" si="98"/>
        <v>0</v>
      </c>
      <c r="BB517" s="215" t="b">
        <f t="shared" si="73"/>
        <v>0</v>
      </c>
      <c r="BC517" s="106"/>
      <c r="BD517" s="106"/>
      <c r="BF517" s="170" t="str">
        <f t="shared" si="111"/>
        <v> </v>
      </c>
      <c r="BG517" s="168">
        <f t="shared" si="112"/>
        <v>10</v>
      </c>
      <c r="BH517" s="168">
        <f>BH516+IF(BF517&lt;&gt;" ",BG517,0)</f>
        <v>0</v>
      </c>
      <c r="BI517" s="171">
        <f>BI518&amp;IF(BF517&lt;&gt;" ",", "&amp;BF517&amp;" ("&amp;BG517&amp;")","")</f>
      </c>
      <c r="BQ517" s="211">
        <f t="shared" si="108"/>
        <v>19</v>
      </c>
      <c r="BR517" s="249" t="str">
        <f t="shared" si="117"/>
        <v>Cloak, Wool</v>
      </c>
      <c r="BS517" s="168">
        <f t="shared" si="118"/>
        <v>0</v>
      </c>
      <c r="BT517" s="168">
        <f t="shared" si="119"/>
        <v>5</v>
      </c>
      <c r="BU517" s="168" t="s">
        <v>2584</v>
      </c>
      <c r="BV517" s="249">
        <f t="shared" si="103"/>
        <v>6</v>
      </c>
      <c r="BW517" s="249" t="str">
        <f t="shared" si="104"/>
        <v>Wool Cloak</v>
      </c>
      <c r="BX517" s="249" t="str">
        <f t="shared" si="105"/>
        <v> </v>
      </c>
      <c r="BY517" s="168">
        <f t="shared" si="109"/>
        <v>0</v>
      </c>
      <c r="BZ517" s="215" t="b">
        <f t="shared" si="106"/>
        <v>0</v>
      </c>
    </row>
    <row r="518" spans="2:78" ht="12.75">
      <c r="B518" s="137">
        <v>7</v>
      </c>
      <c r="C518" s="112" t="str">
        <f t="shared" si="54"/>
        <v> </v>
      </c>
      <c r="D518" s="112" t="str">
        <f t="shared" si="84"/>
        <v> </v>
      </c>
      <c r="E518" s="122">
        <f t="shared" si="55"/>
        <v>0</v>
      </c>
      <c r="F518" s="134">
        <f ca="1" t="shared" si="116"/>
        <v>0</v>
      </c>
      <c r="G518" s="122">
        <f>IF(C518&lt;&gt;" ",MATCH(D518,Talents!B$3:B$278,1),0)</f>
        <v>0</v>
      </c>
      <c r="H518" s="122" t="str">
        <f ca="1">IF(G518=0," ",OFFSET(Talents!C$2,G518,0))</f>
        <v> </v>
      </c>
      <c r="I518" s="122" t="str">
        <f ca="1">IF(G518=0," ",OFFSET(Talents!D$2,G518,0))</f>
        <v> </v>
      </c>
      <c r="J518" s="122" t="str">
        <f t="shared" si="86"/>
        <v> </v>
      </c>
      <c r="K518" s="122">
        <f t="shared" si="56"/>
        <v>0</v>
      </c>
      <c r="L518" s="122" t="str">
        <f t="shared" si="57"/>
        <v> </v>
      </c>
      <c r="M518" s="122" t="str">
        <f ca="1" t="shared" si="87"/>
        <v>-</v>
      </c>
      <c r="N518" s="112" t="b">
        <f t="shared" si="58"/>
        <v>0</v>
      </c>
      <c r="O518" s="122" t="str">
        <f ca="1">IF(G518&gt;0,IF(N518,"D",OFFSET(Talents!E$2,G518,0))&amp;OFFSET(Talents!F$2,G518,0)," ")</f>
        <v> </v>
      </c>
      <c r="P518" s="122" t="b">
        <f t="shared" si="59"/>
        <v>0</v>
      </c>
      <c r="Q518" s="169">
        <f t="shared" si="88"/>
        <v>0</v>
      </c>
      <c r="R518" s="215" t="b">
        <f t="shared" si="60"/>
        <v>0</v>
      </c>
      <c r="S518" s="168">
        <f t="shared" si="89"/>
        <v>0</v>
      </c>
      <c r="T518" s="215"/>
      <c r="U518" s="168">
        <f t="shared" si="90"/>
        <v>0</v>
      </c>
      <c r="V518" s="168"/>
      <c r="W518" s="169">
        <f t="shared" si="91"/>
        <v>0</v>
      </c>
      <c r="X518" s="168">
        <f t="shared" si="92"/>
        <v>0</v>
      </c>
      <c r="Y518" s="168">
        <f t="shared" si="93"/>
        <v>0</v>
      </c>
      <c r="Z518" s="215">
        <f t="shared" si="94"/>
        <v>0</v>
      </c>
      <c r="AA518" s="169" t="b">
        <f t="shared" si="61"/>
        <v>0</v>
      </c>
      <c r="AB518" s="168" t="b">
        <f t="shared" si="62"/>
        <v>0</v>
      </c>
      <c r="AC518" s="168" t="b">
        <f t="shared" si="63"/>
        <v>0</v>
      </c>
      <c r="AD518" s="215" t="b">
        <f t="shared" si="64"/>
        <v>0</v>
      </c>
      <c r="AE518" s="349">
        <f ca="1">IF(AND(Elem!D26&lt;&gt;"",Elem!AO26=""),OFFSET(Spells!H$2,AA518,0),"")</f>
      </c>
      <c r="AF518" s="349">
        <f ca="1">IF(AND(Ill!D26&lt;&gt;"",Ill!AO26=""),OFFSET(Spells!R$2,AB518,0),"")</f>
      </c>
      <c r="AG518" s="349">
        <f ca="1">IF(AND(Neth!D26&lt;&gt;"",Neth!AO26=""),OFFSET(Spells!AB$2,AC518,0),"")</f>
      </c>
      <c r="AH518" s="319">
        <f ca="1">IF(AND(Wiz!D26&lt;&gt;"",Wiz!AO26=""),OFFSET(Spells!AL$2,AD518,0),"")</f>
      </c>
      <c r="AI518" s="170" t="str">
        <f t="shared" si="113"/>
        <v> </v>
      </c>
      <c r="AJ518" s="168">
        <f t="shared" si="114"/>
        <v>0</v>
      </c>
      <c r="AK518" s="168">
        <f ca="1" t="shared" si="67"/>
        <v>0</v>
      </c>
      <c r="AL518" s="168">
        <f t="shared" si="115"/>
        <v>0</v>
      </c>
      <c r="AM518" s="215"/>
      <c r="AN518" s="170" t="str">
        <f t="shared" si="120"/>
        <v>Baking</v>
      </c>
      <c r="AO518" s="168">
        <f t="shared" si="121"/>
        <v>0</v>
      </c>
      <c r="AP518" s="168">
        <f ca="1" t="shared" si="96"/>
        <v>0</v>
      </c>
      <c r="AQ518" s="168" t="str">
        <f t="shared" si="122"/>
        <v>C</v>
      </c>
      <c r="AR518" s="168">
        <f t="shared" si="97"/>
        <v>0</v>
      </c>
      <c r="AS518" s="168"/>
      <c r="AT518" s="170" t="str">
        <f t="shared" si="123"/>
        <v> </v>
      </c>
      <c r="AU518" s="249" t="e">
        <f>IF(AND(AT518&lt;&gt;" ",NOT(MATCH(AT518,AT$504:AT$516))),MATCH(AT518,Talents!H$3:H$129))</f>
        <v>#N/A</v>
      </c>
      <c r="AV518" s="249" t="e">
        <f ca="1">IF(AU518,OFFSET(Talents!I$2,Build!AU518,0)," ")</f>
        <v>#N/A</v>
      </c>
      <c r="AW518" s="168" t="e">
        <f ca="1">IF(AU518,OFFSET(Talents!K$2,Build!AU518,0)," ")</f>
        <v>#N/A</v>
      </c>
      <c r="AX518" s="168" t="e">
        <f ca="1">IF(AU518,OFFSET(Talents!J$2,Build!AU518,0)," ")</f>
        <v>#N/A</v>
      </c>
      <c r="AY518" s="168" t="e">
        <f ca="1">IF(AU518,OFFSET(Talents!L$2,Build!AU518,0)," ")</f>
        <v>#N/A</v>
      </c>
      <c r="AZ518" s="168" t="e">
        <f ca="1">VALUE(RIGHT("00"&amp;OFFSET(Front!Q$13,MATCH(AV518,Front!A$14:A$43,0),0),2))</f>
        <v>#N/A</v>
      </c>
      <c r="BA518" s="168">
        <f t="shared" si="98"/>
        <v>0</v>
      </c>
      <c r="BB518" s="215" t="b">
        <f t="shared" si="73"/>
        <v>0</v>
      </c>
      <c r="BC518" s="106"/>
      <c r="BD518" s="106"/>
      <c r="BF518" s="170" t="str">
        <f t="shared" si="111"/>
        <v> </v>
      </c>
      <c r="BG518" s="168">
        <f t="shared" si="112"/>
        <v>10</v>
      </c>
      <c r="BH518" s="168">
        <f>BH517+IF(BF518&lt;&gt;" ",BG518,0)</f>
        <v>0</v>
      </c>
      <c r="BI518" s="171">
        <f>BI519&amp;IF(BF518&lt;&gt;" ",", "&amp;BF518&amp;" ("&amp;BG518&amp;")","")</f>
      </c>
      <c r="BQ518" s="211">
        <f t="shared" si="108"/>
        <v>20</v>
      </c>
      <c r="BR518" s="249" t="str">
        <f t="shared" si="117"/>
        <v>Cloak, Silk</v>
      </c>
      <c r="BS518" s="168">
        <f t="shared" si="118"/>
        <v>0</v>
      </c>
      <c r="BT518" s="168">
        <f t="shared" si="119"/>
        <v>14</v>
      </c>
      <c r="BU518" s="168" t="s">
        <v>2584</v>
      </c>
      <c r="BV518" s="249">
        <f t="shared" si="103"/>
        <v>6</v>
      </c>
      <c r="BW518" s="249" t="str">
        <f t="shared" si="104"/>
        <v>Silk Cloak</v>
      </c>
      <c r="BX518" s="249" t="str">
        <f t="shared" si="105"/>
        <v> </v>
      </c>
      <c r="BY518" s="168">
        <f t="shared" si="109"/>
        <v>0</v>
      </c>
      <c r="BZ518" s="215" t="b">
        <f t="shared" si="106"/>
        <v>0</v>
      </c>
    </row>
    <row r="519" spans="2:78" ht="12.75">
      <c r="B519" s="137">
        <v>8</v>
      </c>
      <c r="C519" s="112" t="str">
        <f t="shared" si="54"/>
        <v> </v>
      </c>
      <c r="D519" s="112" t="str">
        <f t="shared" si="84"/>
        <v> </v>
      </c>
      <c r="E519" s="122">
        <f t="shared" si="55"/>
        <v>0</v>
      </c>
      <c r="F519" s="134">
        <f ca="1" t="shared" si="116"/>
        <v>0</v>
      </c>
      <c r="G519" s="122">
        <f>IF(C519&lt;&gt;" ",MATCH(D519,Talents!B$3:B$278,1),0)</f>
        <v>0</v>
      </c>
      <c r="H519" s="122" t="str">
        <f ca="1">IF(G519=0," ",OFFSET(Talents!C$2,G519,0))</f>
        <v> </v>
      </c>
      <c r="I519" s="122" t="str">
        <f ca="1">IF(G519=0," ",OFFSET(Talents!D$2,G519,0))</f>
        <v> </v>
      </c>
      <c r="J519" s="122" t="str">
        <f t="shared" si="86"/>
        <v> </v>
      </c>
      <c r="K519" s="122">
        <f t="shared" si="56"/>
        <v>0</v>
      </c>
      <c r="L519" s="122" t="str">
        <f t="shared" si="57"/>
        <v> </v>
      </c>
      <c r="M519" s="122" t="str">
        <f ca="1" t="shared" si="87"/>
        <v>-</v>
      </c>
      <c r="N519" s="112" t="b">
        <f t="shared" si="58"/>
        <v>0</v>
      </c>
      <c r="O519" s="122" t="str">
        <f ca="1">IF(G519&gt;0,IF(N519,"D",OFFSET(Talents!E$2,G519,0))&amp;OFFSET(Talents!F$2,G519,0)," ")</f>
        <v> </v>
      </c>
      <c r="P519" s="122" t="b">
        <f t="shared" si="59"/>
        <v>0</v>
      </c>
      <c r="Q519" s="169">
        <f t="shared" si="88"/>
        <v>0</v>
      </c>
      <c r="R519" s="215" t="b">
        <f t="shared" si="60"/>
        <v>0</v>
      </c>
      <c r="S519" s="168">
        <f t="shared" si="89"/>
        <v>0</v>
      </c>
      <c r="T519" s="215"/>
      <c r="U519" s="168">
        <f t="shared" si="90"/>
        <v>0</v>
      </c>
      <c r="V519" s="168"/>
      <c r="W519" s="169">
        <f t="shared" si="91"/>
        <v>0</v>
      </c>
      <c r="X519" s="168">
        <f t="shared" si="92"/>
        <v>0</v>
      </c>
      <c r="Y519" s="168">
        <f t="shared" si="93"/>
        <v>0</v>
      </c>
      <c r="Z519" s="215">
        <f t="shared" si="94"/>
        <v>0</v>
      </c>
      <c r="AA519" s="169" t="b">
        <f t="shared" si="61"/>
        <v>0</v>
      </c>
      <c r="AB519" s="168" t="b">
        <f t="shared" si="62"/>
        <v>0</v>
      </c>
      <c r="AC519" s="168" t="b">
        <f t="shared" si="63"/>
        <v>0</v>
      </c>
      <c r="AD519" s="215" t="b">
        <f t="shared" si="64"/>
        <v>0</v>
      </c>
      <c r="AE519" s="349">
        <f ca="1">IF(AND(Elem!D27&lt;&gt;"",Elem!AO27=""),OFFSET(Spells!H$2,AA519,0),"")</f>
      </c>
      <c r="AF519" s="349">
        <f ca="1">IF(AND(Ill!D27&lt;&gt;"",Ill!AO27=""),OFFSET(Spells!R$2,AB519,0),"")</f>
      </c>
      <c r="AG519" s="349">
        <f ca="1">IF(AND(Neth!D27&lt;&gt;"",Neth!AO27=""),OFFSET(Spells!AB$2,AC519,0),"")</f>
      </c>
      <c r="AH519" s="319">
        <f ca="1">IF(AND(Wiz!D27&lt;&gt;"",Wiz!AO27=""),OFFSET(Spells!AL$2,AD519,0),"")</f>
      </c>
      <c r="AI519" s="170" t="str">
        <f t="shared" si="113"/>
        <v> </v>
      </c>
      <c r="AJ519" s="168">
        <f t="shared" si="114"/>
        <v>0</v>
      </c>
      <c r="AK519" s="168">
        <f ca="1" t="shared" si="67"/>
        <v>0</v>
      </c>
      <c r="AL519" s="168">
        <f t="shared" si="115"/>
        <v>0</v>
      </c>
      <c r="AM519" s="215"/>
      <c r="AN519" s="170" t="str">
        <f t="shared" si="120"/>
        <v>Cooking</v>
      </c>
      <c r="AO519" s="168">
        <f t="shared" si="121"/>
        <v>0</v>
      </c>
      <c r="AP519" s="168">
        <f ca="1" t="shared" si="96"/>
        <v>0</v>
      </c>
      <c r="AQ519" s="168" t="str">
        <f t="shared" si="122"/>
        <v>C</v>
      </c>
      <c r="AR519" s="168">
        <f t="shared" si="97"/>
        <v>0</v>
      </c>
      <c r="AS519" s="168"/>
      <c r="AT519" s="170" t="str">
        <f t="shared" si="123"/>
        <v> </v>
      </c>
      <c r="AU519" s="249" t="e">
        <f>IF(AND(AT519&lt;&gt;" ",NOT(MATCH(AT519,AT$504:AT$516))),MATCH(AT519,Talents!H$3:H$129))</f>
        <v>#N/A</v>
      </c>
      <c r="AV519" s="249" t="e">
        <f ca="1">IF(AU519,OFFSET(Talents!I$2,Build!AU519,0)," ")</f>
        <v>#N/A</v>
      </c>
      <c r="AW519" s="168" t="e">
        <f ca="1">IF(AU519,OFFSET(Talents!K$2,Build!AU519,0)," ")</f>
        <v>#N/A</v>
      </c>
      <c r="AX519" s="168" t="e">
        <f ca="1">IF(AU519,OFFSET(Talents!J$2,Build!AU519,0)," ")</f>
        <v>#N/A</v>
      </c>
      <c r="AY519" s="168" t="e">
        <f ca="1">IF(AU519,OFFSET(Talents!L$2,Build!AU519,0)," ")</f>
        <v>#N/A</v>
      </c>
      <c r="AZ519" s="168" t="e">
        <f ca="1">VALUE(RIGHT("00"&amp;OFFSET(Front!Q$13,MATCH(AV519,Front!A$14:A$43,0),0),2))</f>
        <v>#N/A</v>
      </c>
      <c r="BA519" s="168">
        <f t="shared" si="98"/>
        <v>0</v>
      </c>
      <c r="BB519" s="215" t="b">
        <f t="shared" si="73"/>
        <v>0</v>
      </c>
      <c r="BC519" s="106"/>
      <c r="BD519" s="106"/>
      <c r="BF519" s="170" t="str">
        <f>IF(P169&lt;&gt;"",M169," ")</f>
        <v> </v>
      </c>
      <c r="BG519" s="168">
        <f>Q169</f>
        <v>10</v>
      </c>
      <c r="BH519" s="168">
        <f>BH518+IF(BF519&lt;&gt;" ",BG519,0)</f>
        <v>0</v>
      </c>
      <c r="BI519" s="171">
        <f>BI520&amp;IF(BF519&lt;&gt;" ",", "&amp;BF519&amp;" ("&amp;BG519&amp;")","")</f>
      </c>
      <c r="BQ519" s="211">
        <f t="shared" si="108"/>
        <v>21</v>
      </c>
      <c r="BR519" s="249" t="str">
        <f t="shared" si="117"/>
        <v>Cloak, Fur-trimmed</v>
      </c>
      <c r="BS519" s="168">
        <f t="shared" si="118"/>
        <v>0</v>
      </c>
      <c r="BT519" s="168">
        <f t="shared" si="119"/>
        <v>50</v>
      </c>
      <c r="BU519" s="168" t="s">
        <v>2584</v>
      </c>
      <c r="BV519" s="249">
        <f aca="true" t="shared" si="124" ref="BV519:BV582">FIND(",",BR519)</f>
        <v>6</v>
      </c>
      <c r="BW519" s="249" t="str">
        <f aca="true" t="shared" si="125" ref="BW519:BW582">IF(ISERROR(BV519),BR519,MID(BR519,BV519+2,20)&amp;" "&amp;LEFT(BR519,BV519-1))&amp;IF(ISERROR(VALUE(BS519)),"",IF(BS519&gt;1," ("&amp;BS519&amp;")",""))</f>
        <v>Fur-trimmed Cloak</v>
      </c>
      <c r="BX519" s="249" t="str">
        <f t="shared" si="105"/>
        <v> </v>
      </c>
      <c r="BY519" s="168">
        <f t="shared" si="109"/>
        <v>0</v>
      </c>
      <c r="BZ519" s="215" t="b">
        <f t="shared" si="106"/>
        <v>0</v>
      </c>
    </row>
    <row r="520" spans="2:78" ht="12.75">
      <c r="B520" s="137">
        <v>8</v>
      </c>
      <c r="C520" s="112" t="str">
        <f t="shared" si="54"/>
        <v> </v>
      </c>
      <c r="D520" s="112" t="str">
        <f t="shared" si="84"/>
        <v> </v>
      </c>
      <c r="E520" s="122">
        <f t="shared" si="55"/>
        <v>0</v>
      </c>
      <c r="F520" s="134">
        <f ca="1" t="shared" si="116"/>
        <v>0</v>
      </c>
      <c r="G520" s="122">
        <f>IF(C520&lt;&gt;" ",MATCH(D520,Talents!B$3:B$278,1),0)</f>
        <v>0</v>
      </c>
      <c r="H520" s="122" t="str">
        <f ca="1">IF(G520=0," ",OFFSET(Talents!C$2,G520,0))</f>
        <v> </v>
      </c>
      <c r="I520" s="122" t="str">
        <f ca="1">IF(G520=0," ",OFFSET(Talents!D$2,G520,0))</f>
        <v> </v>
      </c>
      <c r="J520" s="122" t="str">
        <f t="shared" si="86"/>
        <v> </v>
      </c>
      <c r="K520" s="122">
        <f t="shared" si="56"/>
        <v>0</v>
      </c>
      <c r="L520" s="122" t="str">
        <f t="shared" si="57"/>
        <v> </v>
      </c>
      <c r="M520" s="122" t="str">
        <f ca="1" t="shared" si="87"/>
        <v>-</v>
      </c>
      <c r="N520" s="112" t="b">
        <f t="shared" si="58"/>
        <v>0</v>
      </c>
      <c r="O520" s="122" t="str">
        <f ca="1">IF(G520&gt;0,IF(N520,"D",OFFSET(Talents!E$2,G520,0))&amp;OFFSET(Talents!F$2,G520,0)," ")</f>
        <v> </v>
      </c>
      <c r="P520" s="122" t="b">
        <f t="shared" si="59"/>
        <v>0</v>
      </c>
      <c r="Q520" s="169">
        <f t="shared" si="88"/>
        <v>0</v>
      </c>
      <c r="R520" s="215" t="b">
        <f t="shared" si="60"/>
        <v>0</v>
      </c>
      <c r="S520" s="168">
        <f t="shared" si="89"/>
        <v>0</v>
      </c>
      <c r="T520" s="215"/>
      <c r="U520" s="168">
        <f t="shared" si="90"/>
        <v>0</v>
      </c>
      <c r="V520" s="168"/>
      <c r="W520" s="169">
        <f t="shared" si="91"/>
        <v>0</v>
      </c>
      <c r="X520" s="168">
        <f t="shared" si="92"/>
        <v>0</v>
      </c>
      <c r="Y520" s="168">
        <f t="shared" si="93"/>
        <v>0</v>
      </c>
      <c r="Z520" s="215">
        <f t="shared" si="94"/>
        <v>0</v>
      </c>
      <c r="AA520" s="169" t="b">
        <f t="shared" si="61"/>
        <v>0</v>
      </c>
      <c r="AB520" s="168" t="b">
        <f t="shared" si="62"/>
        <v>0</v>
      </c>
      <c r="AC520" s="168" t="b">
        <f t="shared" si="63"/>
        <v>0</v>
      </c>
      <c r="AD520" s="215" t="b">
        <f t="shared" si="64"/>
        <v>0</v>
      </c>
      <c r="AE520" s="349">
        <f ca="1">IF(AND(Elem!D28&lt;&gt;"",Elem!AO28=""),OFFSET(Spells!H$2,AA520,0),"")</f>
      </c>
      <c r="AF520" s="349">
        <f ca="1">IF(AND(Ill!D28&lt;&gt;"",Ill!AO28=""),OFFSET(Spells!R$2,AB520,0),"")</f>
      </c>
      <c r="AG520" s="349">
        <f ca="1">IF(AND(Neth!D28&lt;&gt;"",Neth!AO28=""),OFFSET(Spells!AB$2,AC520,0),"")</f>
      </c>
      <c r="AH520" s="319">
        <f ca="1">IF(AND(Wiz!D28&lt;&gt;"",Wiz!AO28=""),OFFSET(Spells!AL$2,AD520,0),"")</f>
      </c>
      <c r="AI520" s="170" t="str">
        <f t="shared" si="113"/>
        <v> </v>
      </c>
      <c r="AJ520" s="168">
        <f t="shared" si="114"/>
        <v>0</v>
      </c>
      <c r="AK520" s="168">
        <f ca="1" t="shared" si="67"/>
        <v>0</v>
      </c>
      <c r="AL520" s="168">
        <f t="shared" si="115"/>
        <v>0</v>
      </c>
      <c r="AM520" s="215"/>
      <c r="AN520" s="170" t="str">
        <f t="shared" si="120"/>
        <v>Court Dancing</v>
      </c>
      <c r="AO520" s="168">
        <f t="shared" si="121"/>
        <v>0</v>
      </c>
      <c r="AP520" s="168">
        <f ca="1" t="shared" si="96"/>
        <v>0</v>
      </c>
      <c r="AQ520" s="168" t="str">
        <f t="shared" si="122"/>
        <v>C</v>
      </c>
      <c r="AR520" s="168">
        <f t="shared" si="97"/>
        <v>0</v>
      </c>
      <c r="AS520" s="168"/>
      <c r="AT520" s="170" t="str">
        <f t="shared" si="123"/>
        <v> </v>
      </c>
      <c r="AU520" s="249" t="e">
        <f>IF(AND(AT520&lt;&gt;" ",NOT(MATCH(AT520,AT$504:AT$516))),MATCH(AT520,Talents!H$3:H$129))</f>
        <v>#N/A</v>
      </c>
      <c r="AV520" s="249" t="e">
        <f ca="1">IF(AU520,OFFSET(Talents!I$2,Build!AU520,0)," ")</f>
        <v>#N/A</v>
      </c>
      <c r="AW520" s="168" t="e">
        <f ca="1">IF(AU520,OFFSET(Talents!K$2,Build!AU520,0)," ")</f>
        <v>#N/A</v>
      </c>
      <c r="AX520" s="168" t="e">
        <f ca="1">IF(AU520,OFFSET(Talents!J$2,Build!AU520,0)," ")</f>
        <v>#N/A</v>
      </c>
      <c r="AY520" s="168" t="e">
        <f ca="1">IF(AU520,OFFSET(Talents!L$2,Build!AU520,0)," ")</f>
        <v>#N/A</v>
      </c>
      <c r="AZ520" s="168" t="e">
        <f ca="1">VALUE(RIGHT("00"&amp;OFFSET(Front!Q$13,MATCH(AV520,Front!A$14:A$43,0),0),2))</f>
        <v>#N/A</v>
      </c>
      <c r="BA520" s="168">
        <f t="shared" si="98"/>
        <v>0</v>
      </c>
      <c r="BB520" s="215" t="b">
        <f t="shared" si="73"/>
        <v>0</v>
      </c>
      <c r="BC520" s="106"/>
      <c r="BD520" s="106"/>
      <c r="BF520" s="209" t="str">
        <f>IF(P170&lt;&gt;"",M170," ")</f>
        <v> </v>
      </c>
      <c r="BG520" s="131">
        <f>Q170</f>
        <v>10</v>
      </c>
      <c r="BH520" s="131">
        <f>BH519+IF(BF520&lt;&gt;" ",BG520,0)</f>
        <v>0</v>
      </c>
      <c r="BI520" s="115">
        <f>IF(BF520&lt;&gt;" ",", "&amp;BF520&amp;" ("&amp;BG520&amp;")","")</f>
      </c>
      <c r="BQ520" s="211">
        <f t="shared" si="108"/>
        <v>22</v>
      </c>
      <c r="BR520" s="249" t="str">
        <f t="shared" si="117"/>
        <v>Cloak, Espagra-scale</v>
      </c>
      <c r="BS520" s="168">
        <f t="shared" si="118"/>
        <v>0</v>
      </c>
      <c r="BT520" s="168">
        <f t="shared" si="119"/>
        <v>120</v>
      </c>
      <c r="BU520" s="168" t="s">
        <v>2584</v>
      </c>
      <c r="BV520" s="249">
        <f t="shared" si="124"/>
        <v>6</v>
      </c>
      <c r="BW520" s="249" t="str">
        <f t="shared" si="125"/>
        <v>Espagra-scale Cloak</v>
      </c>
      <c r="BX520" s="249" t="str">
        <f t="shared" si="105"/>
        <v> </v>
      </c>
      <c r="BY520" s="168">
        <f t="shared" si="109"/>
        <v>0</v>
      </c>
      <c r="BZ520" s="215" t="b">
        <f t="shared" si="106"/>
        <v>0</v>
      </c>
    </row>
    <row r="521" spans="2:78" ht="12.75">
      <c r="B521" s="137">
        <v>9</v>
      </c>
      <c r="C521" s="112" t="str">
        <f t="shared" si="54"/>
        <v> </v>
      </c>
      <c r="D521" s="112" t="str">
        <f t="shared" si="84"/>
        <v> </v>
      </c>
      <c r="E521" s="122">
        <f t="shared" si="55"/>
        <v>0</v>
      </c>
      <c r="F521" s="134">
        <f ca="1">OFFSET(Cost_9_12,E521,0)</f>
        <v>0</v>
      </c>
      <c r="G521" s="122">
        <f>IF(C521&lt;&gt;" ",MATCH(D521,Talents!B$3:B$278,1),0)</f>
        <v>0</v>
      </c>
      <c r="H521" s="122" t="str">
        <f ca="1">IF(G521=0," ",OFFSET(Talents!C$2,G521,0))</f>
        <v> </v>
      </c>
      <c r="I521" s="122" t="str">
        <f ca="1">IF(G521=0," ",OFFSET(Talents!D$2,G521,0))</f>
        <v> </v>
      </c>
      <c r="J521" s="122" t="str">
        <f t="shared" si="86"/>
        <v> </v>
      </c>
      <c r="K521" s="122">
        <f t="shared" si="56"/>
        <v>0</v>
      </c>
      <c r="L521" s="122" t="str">
        <f t="shared" si="57"/>
        <v> </v>
      </c>
      <c r="M521" s="122" t="str">
        <f ca="1" t="shared" si="87"/>
        <v>-</v>
      </c>
      <c r="N521" s="112" t="b">
        <f t="shared" si="58"/>
        <v>0</v>
      </c>
      <c r="O521" s="122" t="str">
        <f ca="1">IF(G521&gt;0,IF(N521,"D",OFFSET(Talents!E$2,G521,0))&amp;OFFSET(Talents!F$2,G521,0)," ")</f>
        <v> </v>
      </c>
      <c r="P521" s="122" t="b">
        <f t="shared" si="59"/>
        <v>0</v>
      </c>
      <c r="Q521" s="169">
        <f t="shared" si="88"/>
        <v>0</v>
      </c>
      <c r="R521" s="215" t="b">
        <f t="shared" si="60"/>
        <v>0</v>
      </c>
      <c r="S521" s="168">
        <f t="shared" si="89"/>
        <v>0</v>
      </c>
      <c r="T521" s="215"/>
      <c r="U521" s="168">
        <f t="shared" si="90"/>
        <v>0</v>
      </c>
      <c r="V521" s="168"/>
      <c r="W521" s="169">
        <f t="shared" si="91"/>
        <v>0</v>
      </c>
      <c r="X521" s="168">
        <f t="shared" si="92"/>
        <v>0</v>
      </c>
      <c r="Y521" s="168">
        <f t="shared" si="93"/>
        <v>0</v>
      </c>
      <c r="Z521" s="215">
        <f t="shared" si="94"/>
        <v>0</v>
      </c>
      <c r="AA521" s="169" t="b">
        <f t="shared" si="61"/>
        <v>0</v>
      </c>
      <c r="AB521" s="168" t="b">
        <f t="shared" si="62"/>
        <v>0</v>
      </c>
      <c r="AC521" s="168" t="b">
        <f t="shared" si="63"/>
        <v>0</v>
      </c>
      <c r="AD521" s="215" t="b">
        <f t="shared" si="64"/>
        <v>0</v>
      </c>
      <c r="AE521" s="349">
        <f ca="1">IF(AND(Elem!D29&lt;&gt;"",Elem!AO29=""),OFFSET(Spells!H$2,AA521,0),"")</f>
      </c>
      <c r="AF521" s="349">
        <f ca="1">IF(AND(Ill!D29&lt;&gt;"",Ill!AO29=""),OFFSET(Spells!R$2,AB521,0),"")</f>
      </c>
      <c r="AG521" s="349">
        <f ca="1">IF(AND(Neth!D29&lt;&gt;"",Neth!AO29=""),OFFSET(Spells!AB$2,AC521,0),"")</f>
      </c>
      <c r="AH521" s="319">
        <f ca="1">IF(AND(Wiz!D29&lt;&gt;"",Wiz!AO29=""),OFFSET(Spells!AL$2,AD521,0),"")</f>
      </c>
      <c r="AI521" s="170" t="str">
        <f t="shared" si="113"/>
        <v> </v>
      </c>
      <c r="AJ521" s="168">
        <f t="shared" si="114"/>
        <v>0</v>
      </c>
      <c r="AK521" s="168">
        <f ca="1" t="shared" si="67"/>
        <v>0</v>
      </c>
      <c r="AL521" s="168">
        <f t="shared" si="115"/>
        <v>0</v>
      </c>
      <c r="AM521" s="215"/>
      <c r="AN521" s="170" t="str">
        <f t="shared" si="120"/>
        <v>Craftsman</v>
      </c>
      <c r="AO521" s="168">
        <f t="shared" si="121"/>
        <v>0</v>
      </c>
      <c r="AP521" s="168">
        <f ca="1" t="shared" si="96"/>
        <v>0</v>
      </c>
      <c r="AQ521" s="168" t="str">
        <f t="shared" si="122"/>
        <v>D</v>
      </c>
      <c r="AR521" s="168">
        <f t="shared" si="97"/>
        <v>0</v>
      </c>
      <c r="AS521" s="168"/>
      <c r="AT521" s="170" t="str">
        <f t="shared" si="123"/>
        <v> </v>
      </c>
      <c r="AU521" s="249" t="e">
        <f>IF(AND(AT521&lt;&gt;" ",NOT(MATCH(AT521,AT$504:AT$516))),MATCH(AT521,Talents!H$3:H$129))</f>
        <v>#N/A</v>
      </c>
      <c r="AV521" s="249" t="e">
        <f ca="1">IF(AU521,OFFSET(Talents!I$2,Build!AU521,0)," ")</f>
        <v>#N/A</v>
      </c>
      <c r="AW521" s="168" t="e">
        <f ca="1">IF(AU521,OFFSET(Talents!K$2,Build!AU521,0)," ")</f>
        <v>#N/A</v>
      </c>
      <c r="AX521" s="168" t="e">
        <f ca="1">IF(AU521,OFFSET(Talents!J$2,Build!AU521,0)," ")</f>
        <v>#N/A</v>
      </c>
      <c r="AY521" s="168" t="e">
        <f ca="1">IF(AU521,OFFSET(Talents!L$2,Build!AU521,0)," ")</f>
        <v>#N/A</v>
      </c>
      <c r="AZ521" s="168" t="e">
        <f ca="1">VALUE(RIGHT("00"&amp;OFFSET(Front!Q$13,MATCH(AV521,Front!A$14:A$43,0),0),2))</f>
        <v>#N/A</v>
      </c>
      <c r="BA521" s="168">
        <f t="shared" si="98"/>
        <v>0</v>
      </c>
      <c r="BB521" s="215" t="b">
        <f t="shared" si="73"/>
        <v>0</v>
      </c>
      <c r="BC521" s="106"/>
      <c r="BD521" s="106"/>
      <c r="BQ521" s="211">
        <f t="shared" si="108"/>
        <v>23</v>
      </c>
      <c r="BR521" s="249" t="str">
        <f t="shared" si="117"/>
        <v>Cloak, Dwarf Winternight</v>
      </c>
      <c r="BS521" s="168">
        <f t="shared" si="118"/>
        <v>0</v>
      </c>
      <c r="BT521" s="168">
        <f t="shared" si="119"/>
        <v>275</v>
      </c>
      <c r="BU521" s="168" t="s">
        <v>2584</v>
      </c>
      <c r="BV521" s="249">
        <f t="shared" si="124"/>
        <v>6</v>
      </c>
      <c r="BW521" s="249" t="str">
        <f t="shared" si="125"/>
        <v>Dwarf Winternight Cloak</v>
      </c>
      <c r="BX521" s="249" t="str">
        <f t="shared" si="105"/>
        <v> </v>
      </c>
      <c r="BY521" s="168">
        <f t="shared" si="109"/>
        <v>0</v>
      </c>
      <c r="BZ521" s="215" t="b">
        <f t="shared" si="106"/>
        <v>0</v>
      </c>
    </row>
    <row r="522" spans="2:78" ht="12.75">
      <c r="B522" s="137">
        <v>9</v>
      </c>
      <c r="C522" s="112" t="str">
        <f t="shared" si="54"/>
        <v> </v>
      </c>
      <c r="D522" s="112" t="str">
        <f t="shared" si="84"/>
        <v> </v>
      </c>
      <c r="E522" s="122">
        <f t="shared" si="55"/>
        <v>0</v>
      </c>
      <c r="F522" s="134">
        <f aca="true" ca="1" t="shared" si="126" ref="F522:F529">OFFSET(Cost_9_12,E522,0)</f>
        <v>0</v>
      </c>
      <c r="G522" s="122">
        <f>IF(C522&lt;&gt;" ",MATCH(D522,Talents!B$3:B$278,1),0)</f>
        <v>0</v>
      </c>
      <c r="H522" s="122" t="str">
        <f ca="1">IF(G522=0," ",OFFSET(Talents!C$2,G522,0))</f>
        <v> </v>
      </c>
      <c r="I522" s="122" t="str">
        <f ca="1">IF(G522=0," ",OFFSET(Talents!D$2,G522,0))</f>
        <v> </v>
      </c>
      <c r="J522" s="122" t="str">
        <f t="shared" si="86"/>
        <v> </v>
      </c>
      <c r="K522" s="122">
        <f t="shared" si="56"/>
        <v>0</v>
      </c>
      <c r="L522" s="122" t="str">
        <f t="shared" si="57"/>
        <v> </v>
      </c>
      <c r="M522" s="122" t="str">
        <f ca="1" t="shared" si="87"/>
        <v>-</v>
      </c>
      <c r="N522" s="112" t="b">
        <f t="shared" si="58"/>
        <v>0</v>
      </c>
      <c r="O522" s="122" t="str">
        <f ca="1">IF(G522&gt;0,IF(N522,"D",OFFSET(Talents!E$2,G522,0))&amp;OFFSET(Talents!F$2,G522,0)," ")</f>
        <v> </v>
      </c>
      <c r="P522" s="122" t="b">
        <f t="shared" si="59"/>
        <v>0</v>
      </c>
      <c r="Q522" s="169">
        <f t="shared" si="88"/>
        <v>0</v>
      </c>
      <c r="R522" s="215" t="b">
        <f t="shared" si="60"/>
        <v>0</v>
      </c>
      <c r="S522" s="131">
        <f t="shared" si="89"/>
        <v>0</v>
      </c>
      <c r="T522" s="132"/>
      <c r="U522" s="168">
        <f t="shared" si="90"/>
        <v>0</v>
      </c>
      <c r="V522" s="168"/>
      <c r="W522" s="169">
        <f t="shared" si="91"/>
        <v>0</v>
      </c>
      <c r="X522" s="168">
        <f t="shared" si="92"/>
        <v>0</v>
      </c>
      <c r="Y522" s="168">
        <f t="shared" si="93"/>
        <v>0</v>
      </c>
      <c r="Z522" s="215">
        <f t="shared" si="94"/>
        <v>0</v>
      </c>
      <c r="AA522" s="169" t="b">
        <f t="shared" si="61"/>
        <v>0</v>
      </c>
      <c r="AB522" s="168" t="b">
        <f t="shared" si="62"/>
        <v>0</v>
      </c>
      <c r="AC522" s="168" t="b">
        <f t="shared" si="63"/>
        <v>0</v>
      </c>
      <c r="AD522" s="215" t="b">
        <f t="shared" si="64"/>
        <v>0</v>
      </c>
      <c r="AE522" s="349">
        <f ca="1">IF(AND(Elem!D30&lt;&gt;"",Elem!AO30=""),OFFSET(Spells!H$2,AA522,0),"")</f>
      </c>
      <c r="AF522" s="349">
        <f ca="1">IF(AND(Ill!D30&lt;&gt;"",Ill!AO30=""),OFFSET(Spells!R$2,AB522,0),"")</f>
      </c>
      <c r="AG522" s="349">
        <f ca="1">IF(AND(Neth!D30&lt;&gt;"",Neth!AO30=""),OFFSET(Spells!AB$2,AC522,0),"")</f>
      </c>
      <c r="AH522" s="319">
        <f ca="1">IF(AND(Wiz!D30&lt;&gt;"",Wiz!AO30=""),OFFSET(Spells!AL$2,AD522,0),"")</f>
      </c>
      <c r="AI522" s="170" t="str">
        <f t="shared" si="113"/>
        <v> </v>
      </c>
      <c r="AJ522" s="168">
        <f t="shared" si="114"/>
        <v>0</v>
      </c>
      <c r="AK522" s="168">
        <f ca="1" t="shared" si="67"/>
        <v>0</v>
      </c>
      <c r="AL522" s="168">
        <f t="shared" si="115"/>
        <v>0</v>
      </c>
      <c r="AM522" s="215"/>
      <c r="AN522" s="170" t="str">
        <f t="shared" si="120"/>
        <v>Robe Embroidery</v>
      </c>
      <c r="AO522" s="168">
        <f t="shared" si="121"/>
        <v>0</v>
      </c>
      <c r="AP522" s="168">
        <f ca="1" t="shared" si="96"/>
        <v>0</v>
      </c>
      <c r="AQ522" s="168" t="str">
        <f t="shared" si="122"/>
        <v>C</v>
      </c>
      <c r="AR522" s="168">
        <f t="shared" si="97"/>
        <v>0</v>
      </c>
      <c r="AS522" s="168"/>
      <c r="AT522" s="170" t="str">
        <f t="shared" si="123"/>
        <v> </v>
      </c>
      <c r="AU522" s="249" t="e">
        <f>IF(AND(AT522&lt;&gt;" ",NOT(MATCH(AT522,AT$504:AT$516))),MATCH(AT522,Talents!H$3:H$129))</f>
        <v>#N/A</v>
      </c>
      <c r="AV522" s="249" t="e">
        <f ca="1">IF(AU522,OFFSET(Talents!I$2,Build!AU522,0)," ")</f>
        <v>#N/A</v>
      </c>
      <c r="AW522" s="168" t="e">
        <f ca="1">IF(AU522,OFFSET(Talents!K$2,Build!AU522,0)," ")</f>
        <v>#N/A</v>
      </c>
      <c r="AX522" s="168" t="e">
        <f ca="1">IF(AU522,OFFSET(Talents!J$2,Build!AU522,0)," ")</f>
        <v>#N/A</v>
      </c>
      <c r="AY522" s="168" t="e">
        <f ca="1">IF(AU522,OFFSET(Talents!L$2,Build!AU522,0)," ")</f>
        <v>#N/A</v>
      </c>
      <c r="AZ522" s="168" t="e">
        <f ca="1">VALUE(RIGHT("00"&amp;OFFSET(Front!Q$13,MATCH(AV522,Front!A$14:A$43,0),0),2))</f>
        <v>#N/A</v>
      </c>
      <c r="BA522" s="168">
        <f t="shared" si="98"/>
        <v>0</v>
      </c>
      <c r="BB522" s="215" t="b">
        <f t="shared" si="73"/>
        <v>0</v>
      </c>
      <c r="BC522" s="106"/>
      <c r="BD522" s="106"/>
      <c r="BQ522" s="211">
        <f t="shared" si="108"/>
        <v>24</v>
      </c>
      <c r="BR522" s="249" t="str">
        <f t="shared" si="117"/>
        <v>Cloak, Theran</v>
      </c>
      <c r="BS522" s="168">
        <f t="shared" si="118"/>
        <v>0</v>
      </c>
      <c r="BT522" s="168">
        <f t="shared" si="119"/>
        <v>380</v>
      </c>
      <c r="BU522" s="168" t="s">
        <v>2584</v>
      </c>
      <c r="BV522" s="249">
        <f t="shared" si="124"/>
        <v>6</v>
      </c>
      <c r="BW522" s="249" t="str">
        <f t="shared" si="125"/>
        <v>Theran Cloak</v>
      </c>
      <c r="BX522" s="249" t="str">
        <f t="shared" si="105"/>
        <v> </v>
      </c>
      <c r="BY522" s="168">
        <f t="shared" si="109"/>
        <v>0</v>
      </c>
      <c r="BZ522" s="215" t="b">
        <f t="shared" si="106"/>
        <v>0</v>
      </c>
    </row>
    <row r="523" spans="2:78" ht="12.75">
      <c r="B523" s="137">
        <v>9</v>
      </c>
      <c r="C523" s="112" t="str">
        <f t="shared" si="54"/>
        <v> </v>
      </c>
      <c r="D523" s="112" t="str">
        <f t="shared" si="84"/>
        <v> </v>
      </c>
      <c r="E523" s="122">
        <f t="shared" si="55"/>
        <v>0</v>
      </c>
      <c r="F523" s="134">
        <f ca="1" t="shared" si="126"/>
        <v>0</v>
      </c>
      <c r="G523" s="122">
        <f>IF(C523&lt;&gt;" ",MATCH(D523,Talents!B$3:B$278,1),0)</f>
        <v>0</v>
      </c>
      <c r="H523" s="122" t="str">
        <f ca="1">IF(G523=0," ",OFFSET(Talents!C$2,G523,0))</f>
        <v> </v>
      </c>
      <c r="I523" s="122" t="str">
        <f ca="1">IF(G523=0," ",OFFSET(Talents!D$2,G523,0))</f>
        <v> </v>
      </c>
      <c r="J523" s="122" t="str">
        <f t="shared" si="86"/>
        <v> </v>
      </c>
      <c r="K523" s="122">
        <f t="shared" si="56"/>
        <v>0</v>
      </c>
      <c r="L523" s="122" t="str">
        <f t="shared" si="57"/>
        <v> </v>
      </c>
      <c r="M523" s="122" t="str">
        <f ca="1" t="shared" si="87"/>
        <v>-</v>
      </c>
      <c r="N523" s="112" t="b">
        <f t="shared" si="58"/>
        <v>0</v>
      </c>
      <c r="O523" s="122" t="str">
        <f ca="1">IF(G523&gt;0,IF(N523,"D",OFFSET(Talents!E$2,G523,0))&amp;OFFSET(Talents!F$2,G523,0)," ")</f>
        <v> </v>
      </c>
      <c r="P523" s="122" t="b">
        <f t="shared" si="59"/>
        <v>0</v>
      </c>
      <c r="Q523" s="169">
        <f t="shared" si="88"/>
        <v>0</v>
      </c>
      <c r="R523" s="215" t="b">
        <f t="shared" si="60"/>
        <v>0</v>
      </c>
      <c r="S523" s="106"/>
      <c r="T523" s="106"/>
      <c r="U523" s="169">
        <f t="shared" si="90"/>
        <v>0</v>
      </c>
      <c r="V523" s="168"/>
      <c r="W523" s="169">
        <f t="shared" si="91"/>
        <v>0</v>
      </c>
      <c r="X523" s="168">
        <f t="shared" si="92"/>
        <v>0</v>
      </c>
      <c r="Y523" s="168">
        <f t="shared" si="93"/>
        <v>0</v>
      </c>
      <c r="Z523" s="215">
        <f t="shared" si="94"/>
        <v>0</v>
      </c>
      <c r="AA523" s="169" t="b">
        <f t="shared" si="61"/>
        <v>0</v>
      </c>
      <c r="AB523" s="168" t="b">
        <f t="shared" si="62"/>
        <v>0</v>
      </c>
      <c r="AC523" s="168" t="b">
        <f t="shared" si="63"/>
        <v>0</v>
      </c>
      <c r="AD523" s="215" t="b">
        <f t="shared" si="64"/>
        <v>0</v>
      </c>
      <c r="AE523" s="349">
        <f ca="1">IF(AND(Elem!D31&lt;&gt;"",Elem!AO31=""),OFFSET(Spells!H$2,AA523,0),"")</f>
      </c>
      <c r="AF523" s="349">
        <f ca="1">IF(AND(Ill!D31&lt;&gt;"",Ill!AO31=""),OFFSET(Spells!R$2,AB523,0),"")</f>
      </c>
      <c r="AG523" s="349">
        <f ca="1">IF(AND(Neth!D31&lt;&gt;"",Neth!AO31=""),OFFSET(Spells!AB$2,AC523,0),"")</f>
      </c>
      <c r="AH523" s="319">
        <f ca="1">IF(AND(Wiz!D31&lt;&gt;"",Wiz!AO31=""),OFFSET(Spells!AL$2,AD523,0),"")</f>
      </c>
      <c r="AI523" s="170" t="str">
        <f t="shared" si="113"/>
        <v> </v>
      </c>
      <c r="AJ523" s="168">
        <f t="shared" si="114"/>
        <v>0</v>
      </c>
      <c r="AK523" s="168">
        <f ca="1" t="shared" si="67"/>
        <v>0</v>
      </c>
      <c r="AL523" s="168">
        <f t="shared" si="115"/>
        <v>0</v>
      </c>
      <c r="AM523" s="215"/>
      <c r="AN523" s="170" t="str">
        <f t="shared" si="120"/>
        <v>Rune Carving</v>
      </c>
      <c r="AO523" s="168">
        <f t="shared" si="121"/>
        <v>0</v>
      </c>
      <c r="AP523" s="168">
        <f ca="1" t="shared" si="96"/>
        <v>0</v>
      </c>
      <c r="AQ523" s="168" t="str">
        <f t="shared" si="122"/>
        <v>C</v>
      </c>
      <c r="AR523" s="168">
        <f t="shared" si="97"/>
        <v>0</v>
      </c>
      <c r="AS523" s="168"/>
      <c r="AT523" s="170" t="str">
        <f t="shared" si="123"/>
        <v> </v>
      </c>
      <c r="AU523" s="249" t="e">
        <f>IF(AND(AT523&lt;&gt;" ",NOT(MATCH(AT523,AT$504:AT$516))),MATCH(AT523,Talents!H$3:H$129))</f>
        <v>#N/A</v>
      </c>
      <c r="AV523" s="249" t="e">
        <f ca="1">IF(AU523,OFFSET(Talents!I$2,Build!AU523,0)," ")</f>
        <v>#N/A</v>
      </c>
      <c r="AW523" s="168" t="e">
        <f ca="1">IF(AU523,OFFSET(Talents!K$2,Build!AU523,0)," ")</f>
        <v>#N/A</v>
      </c>
      <c r="AX523" s="168" t="e">
        <f ca="1">IF(AU523,OFFSET(Talents!J$2,Build!AU523,0)," ")</f>
        <v>#N/A</v>
      </c>
      <c r="AY523" s="168" t="e">
        <f ca="1">IF(AU523,OFFSET(Talents!L$2,Build!AU523,0)," ")</f>
        <v>#N/A</v>
      </c>
      <c r="AZ523" s="168" t="e">
        <f ca="1">VALUE(RIGHT("00"&amp;OFFSET(Front!Q$13,MATCH(AV523,Front!A$14:A$43,0),0),2))</f>
        <v>#N/A</v>
      </c>
      <c r="BA523" s="168">
        <f t="shared" si="98"/>
        <v>0</v>
      </c>
      <c r="BB523" s="215" t="b">
        <f t="shared" si="73"/>
        <v>0</v>
      </c>
      <c r="BC523" s="106"/>
      <c r="BD523" s="106"/>
      <c r="BQ523" s="211">
        <f t="shared" si="108"/>
        <v>25</v>
      </c>
      <c r="BR523" s="249" t="str">
        <f t="shared" si="117"/>
        <v>Dress, Plain</v>
      </c>
      <c r="BS523" s="168">
        <f t="shared" si="118"/>
        <v>0</v>
      </c>
      <c r="BT523" s="168">
        <f t="shared" si="119"/>
        <v>2</v>
      </c>
      <c r="BU523" s="168" t="s">
        <v>2584</v>
      </c>
      <c r="BV523" s="249">
        <f t="shared" si="124"/>
        <v>6</v>
      </c>
      <c r="BW523" s="249" t="str">
        <f t="shared" si="125"/>
        <v>Plain Dress</v>
      </c>
      <c r="BX523" s="249" t="str">
        <f t="shared" si="105"/>
        <v> </v>
      </c>
      <c r="BY523" s="168">
        <f t="shared" si="109"/>
        <v>0</v>
      </c>
      <c r="BZ523" s="215" t="b">
        <f t="shared" si="106"/>
        <v>0</v>
      </c>
    </row>
    <row r="524" spans="2:78" ht="12.75">
      <c r="B524" s="137">
        <v>10</v>
      </c>
      <c r="C524" s="112" t="str">
        <f t="shared" si="54"/>
        <v> </v>
      </c>
      <c r="D524" s="112" t="str">
        <f t="shared" si="84"/>
        <v> </v>
      </c>
      <c r="E524" s="122">
        <f t="shared" si="55"/>
        <v>0</v>
      </c>
      <c r="F524" s="134">
        <f ca="1" t="shared" si="126"/>
        <v>0</v>
      </c>
      <c r="G524" s="122">
        <f>IF(C524&lt;&gt;" ",MATCH(D524,Talents!B$3:B$278,1),0)</f>
        <v>0</v>
      </c>
      <c r="H524" s="122" t="str">
        <f ca="1">IF(G524=0," ",OFFSET(Talents!C$2,G524,0))</f>
        <v> </v>
      </c>
      <c r="I524" s="122" t="str">
        <f ca="1">IF(G524=0," ",OFFSET(Talents!D$2,G524,0))</f>
        <v> </v>
      </c>
      <c r="J524" s="122" t="str">
        <f t="shared" si="86"/>
        <v> </v>
      </c>
      <c r="K524" s="122">
        <f t="shared" si="56"/>
        <v>0</v>
      </c>
      <c r="L524" s="122" t="str">
        <f t="shared" si="57"/>
        <v> </v>
      </c>
      <c r="M524" s="122" t="str">
        <f ca="1" t="shared" si="87"/>
        <v>-</v>
      </c>
      <c r="N524" s="112" t="b">
        <f t="shared" si="58"/>
        <v>0</v>
      </c>
      <c r="O524" s="122" t="str">
        <f ca="1">IF(G524&gt;0,IF(N524,"D",OFFSET(Talents!E$2,G524,0))&amp;OFFSET(Talents!F$2,G524,0)," ")</f>
        <v> </v>
      </c>
      <c r="P524" s="122" t="b">
        <f t="shared" si="59"/>
        <v>0</v>
      </c>
      <c r="Q524" s="169">
        <f t="shared" si="88"/>
        <v>0</v>
      </c>
      <c r="R524" s="215" t="b">
        <f t="shared" si="60"/>
        <v>0</v>
      </c>
      <c r="S524" s="106"/>
      <c r="T524" s="106"/>
      <c r="U524" s="169">
        <f t="shared" si="90"/>
        <v>0</v>
      </c>
      <c r="V524" s="168"/>
      <c r="W524" s="169">
        <f t="shared" si="91"/>
        <v>0</v>
      </c>
      <c r="X524" s="168">
        <f t="shared" si="92"/>
        <v>0</v>
      </c>
      <c r="Y524" s="168">
        <f t="shared" si="93"/>
        <v>0</v>
      </c>
      <c r="Z524" s="215">
        <f t="shared" si="94"/>
        <v>0</v>
      </c>
      <c r="AA524" s="169" t="b">
        <f t="shared" si="61"/>
        <v>0</v>
      </c>
      <c r="AB524" s="168" t="b">
        <f t="shared" si="62"/>
        <v>0</v>
      </c>
      <c r="AC524" s="168" t="b">
        <f t="shared" si="63"/>
        <v>0</v>
      </c>
      <c r="AD524" s="215" t="b">
        <f t="shared" si="64"/>
        <v>0</v>
      </c>
      <c r="AE524" s="349">
        <f ca="1">IF(AND(Elem!D32&lt;&gt;"",Elem!AO32=""),OFFSET(Spells!H$2,AA524,0),"")</f>
      </c>
      <c r="AF524" s="349">
        <f ca="1">IF(AND(Ill!D32&lt;&gt;"",Ill!AO32=""),OFFSET(Spells!R$2,AB524,0),"")</f>
      </c>
      <c r="AG524" s="349">
        <f ca="1">IF(AND(Neth!D32&lt;&gt;"",Neth!AO32=""),OFFSET(Spells!AB$2,AC524,0),"")</f>
      </c>
      <c r="AH524" s="319">
        <f ca="1">IF(AND(Wiz!D32&lt;&gt;"",Wiz!AO32=""),OFFSET(Spells!AL$2,AD524,0),"")</f>
      </c>
      <c r="AI524" s="170" t="str">
        <f aca="true" t="shared" si="127" ref="AI524:AI555">D499</f>
        <v> </v>
      </c>
      <c r="AJ524" s="168">
        <f aca="true" t="shared" si="128" ref="AJ524:AJ555">K499</f>
        <v>0</v>
      </c>
      <c r="AK524" s="168">
        <f ca="1" t="shared" si="67"/>
        <v>0</v>
      </c>
      <c r="AL524" s="168">
        <f t="shared" si="115"/>
        <v>0</v>
      </c>
      <c r="AM524" s="215"/>
      <c r="AN524" s="170" t="str">
        <f t="shared" si="120"/>
        <v>Tattooing</v>
      </c>
      <c r="AO524" s="168">
        <f t="shared" si="121"/>
        <v>0</v>
      </c>
      <c r="AP524" s="168">
        <f ca="1" t="shared" si="96"/>
        <v>0</v>
      </c>
      <c r="AQ524" s="168" t="str">
        <f t="shared" si="122"/>
        <v>C</v>
      </c>
      <c r="AR524" s="168">
        <f t="shared" si="97"/>
        <v>0</v>
      </c>
      <c r="AS524" s="168"/>
      <c r="AT524" s="170" t="str">
        <f t="shared" si="123"/>
        <v> </v>
      </c>
      <c r="AU524" s="249" t="e">
        <f>IF(AND(AT524&lt;&gt;" ",NOT(MATCH(AT524,AT$504:AT$516))),MATCH(AT524,Talents!H$3:H$129))</f>
        <v>#N/A</v>
      </c>
      <c r="AV524" s="249" t="e">
        <f ca="1">IF(AU524,OFFSET(Talents!I$2,Build!AU524,0)," ")</f>
        <v>#N/A</v>
      </c>
      <c r="AW524" s="168" t="e">
        <f ca="1">IF(AU524,OFFSET(Talents!K$2,Build!AU524,0)," ")</f>
        <v>#N/A</v>
      </c>
      <c r="AX524" s="168" t="e">
        <f ca="1">IF(AU524,OFFSET(Talents!J$2,Build!AU524,0)," ")</f>
        <v>#N/A</v>
      </c>
      <c r="AY524" s="168" t="e">
        <f ca="1">IF(AU524,OFFSET(Talents!L$2,Build!AU524,0)," ")</f>
        <v>#N/A</v>
      </c>
      <c r="AZ524" s="168" t="e">
        <f ca="1">VALUE(RIGHT("00"&amp;OFFSET(Front!Q$13,MATCH(AV524,Front!A$14:A$43,0),0),2))</f>
        <v>#N/A</v>
      </c>
      <c r="BA524" s="168">
        <f t="shared" si="98"/>
        <v>0</v>
      </c>
      <c r="BB524" s="215" t="b">
        <f t="shared" si="73"/>
        <v>0</v>
      </c>
      <c r="BC524" s="106"/>
      <c r="BD524" s="106"/>
      <c r="BQ524" s="211">
        <f t="shared" si="108"/>
        <v>26</v>
      </c>
      <c r="BR524" s="249" t="str">
        <f t="shared" si="117"/>
        <v>Dress, Patterned</v>
      </c>
      <c r="BS524" s="168">
        <f t="shared" si="118"/>
        <v>0</v>
      </c>
      <c r="BT524" s="168">
        <f t="shared" si="119"/>
        <v>7</v>
      </c>
      <c r="BU524" s="168" t="s">
        <v>2584</v>
      </c>
      <c r="BV524" s="249">
        <f t="shared" si="124"/>
        <v>6</v>
      </c>
      <c r="BW524" s="249" t="str">
        <f t="shared" si="125"/>
        <v>Patterned Dress</v>
      </c>
      <c r="BX524" s="249" t="str">
        <f t="shared" si="105"/>
        <v> </v>
      </c>
      <c r="BY524" s="168">
        <f t="shared" si="109"/>
        <v>0</v>
      </c>
      <c r="BZ524" s="215" t="b">
        <f t="shared" si="106"/>
        <v>0</v>
      </c>
    </row>
    <row r="525" spans="2:78" ht="12.75">
      <c r="B525" s="137">
        <v>10</v>
      </c>
      <c r="C525" s="112" t="str">
        <f t="shared" si="54"/>
        <v> </v>
      </c>
      <c r="D525" s="112" t="str">
        <f t="shared" si="84"/>
        <v> </v>
      </c>
      <c r="E525" s="122">
        <f t="shared" si="55"/>
        <v>0</v>
      </c>
      <c r="F525" s="134">
        <f ca="1" t="shared" si="126"/>
        <v>0</v>
      </c>
      <c r="G525" s="122">
        <f>IF(C525&lt;&gt;" ",MATCH(D525,Talents!B$3:B$278,1),0)</f>
        <v>0</v>
      </c>
      <c r="H525" s="122" t="str">
        <f ca="1">IF(G525=0," ",OFFSET(Talents!C$2,G525,0))</f>
        <v> </v>
      </c>
      <c r="I525" s="122" t="str">
        <f ca="1">IF(G525=0," ",OFFSET(Talents!D$2,G525,0))</f>
        <v> </v>
      </c>
      <c r="J525" s="122" t="str">
        <f t="shared" si="86"/>
        <v> </v>
      </c>
      <c r="K525" s="122">
        <f t="shared" si="56"/>
        <v>0</v>
      </c>
      <c r="L525" s="122" t="str">
        <f t="shared" si="57"/>
        <v> </v>
      </c>
      <c r="M525" s="122" t="str">
        <f ca="1" t="shared" si="87"/>
        <v>-</v>
      </c>
      <c r="N525" s="112" t="b">
        <f t="shared" si="58"/>
        <v>0</v>
      </c>
      <c r="O525" s="122" t="str">
        <f ca="1">IF(G525&gt;0,IF(N525,"D",OFFSET(Talents!E$2,G525,0))&amp;OFFSET(Talents!F$2,G525,0)," ")</f>
        <v> </v>
      </c>
      <c r="P525" s="122" t="b">
        <f t="shared" si="59"/>
        <v>0</v>
      </c>
      <c r="Q525" s="169">
        <f t="shared" si="88"/>
        <v>0</v>
      </c>
      <c r="R525" s="215" t="b">
        <f t="shared" si="60"/>
        <v>0</v>
      </c>
      <c r="S525" s="106"/>
      <c r="T525" s="106"/>
      <c r="U525" s="169">
        <f t="shared" si="90"/>
        <v>0</v>
      </c>
      <c r="V525" s="168"/>
      <c r="W525" s="169">
        <f t="shared" si="91"/>
        <v>0</v>
      </c>
      <c r="X525" s="168">
        <f t="shared" si="92"/>
        <v>0</v>
      </c>
      <c r="Y525" s="168">
        <f t="shared" si="93"/>
        <v>0</v>
      </c>
      <c r="Z525" s="215">
        <f t="shared" si="94"/>
        <v>0</v>
      </c>
      <c r="AA525" s="169" t="b">
        <f t="shared" si="61"/>
        <v>0</v>
      </c>
      <c r="AB525" s="168" t="b">
        <f t="shared" si="62"/>
        <v>0</v>
      </c>
      <c r="AC525" s="168" t="b">
        <f t="shared" si="63"/>
        <v>0</v>
      </c>
      <c r="AD525" s="215" t="b">
        <f t="shared" si="64"/>
        <v>0</v>
      </c>
      <c r="AE525" s="349">
        <f ca="1">IF(AND(Elem!D33&lt;&gt;"",Elem!AO33=""),OFFSET(Spells!H$2,AA525,0),"")</f>
      </c>
      <c r="AF525" s="349">
        <f ca="1">IF(AND(Ill!D33&lt;&gt;"",Ill!AO33=""),OFFSET(Spells!R$2,AB525,0),"")</f>
      </c>
      <c r="AG525" s="349">
        <f ca="1">IF(AND(Neth!D33&lt;&gt;"",Neth!AO33=""),OFFSET(Spells!AB$2,AC525,0),"")</f>
      </c>
      <c r="AH525" s="319">
        <f ca="1">IF(AND(Wiz!D33&lt;&gt;"",Wiz!AO33=""),OFFSET(Spells!AL$2,AD525,0),"")</f>
      </c>
      <c r="AI525" s="170" t="str">
        <f t="shared" si="127"/>
        <v> </v>
      </c>
      <c r="AJ525" s="168">
        <f t="shared" si="128"/>
        <v>0</v>
      </c>
      <c r="AK525" s="168">
        <f ca="1" t="shared" si="67"/>
        <v>0</v>
      </c>
      <c r="AL525" s="168">
        <f t="shared" si="115"/>
        <v>0</v>
      </c>
      <c r="AM525" s="215"/>
      <c r="AN525" s="170">
        <f t="shared" si="120"/>
      </c>
      <c r="AO525" s="168">
        <f t="shared" si="121"/>
        <v>0</v>
      </c>
      <c r="AP525" s="168">
        <f ca="1" t="shared" si="96"/>
        <v>0</v>
      </c>
      <c r="AQ525" s="168">
        <f t="shared" si="122"/>
        <v>0</v>
      </c>
      <c r="AR525" s="168">
        <f t="shared" si="97"/>
        <v>0</v>
      </c>
      <c r="AS525" s="168"/>
      <c r="AT525" s="170" t="str">
        <f t="shared" si="123"/>
        <v> </v>
      </c>
      <c r="AU525" s="249" t="e">
        <f>IF(AND(AT525&lt;&gt;" ",NOT(MATCH(AT525,AT$504:AT$516))),MATCH(AT525,Talents!H$3:H$129))</f>
        <v>#N/A</v>
      </c>
      <c r="AV525" s="249" t="e">
        <f ca="1">IF(AU525,OFFSET(Talents!I$2,Build!AU525,0)," ")</f>
        <v>#N/A</v>
      </c>
      <c r="AW525" s="168" t="e">
        <f ca="1">IF(AU525,OFFSET(Talents!K$2,Build!AU525,0)," ")</f>
        <v>#N/A</v>
      </c>
      <c r="AX525" s="168" t="e">
        <f ca="1">IF(AU525,OFFSET(Talents!J$2,Build!AU525,0)," ")</f>
        <v>#N/A</v>
      </c>
      <c r="AY525" s="168" t="e">
        <f ca="1">IF(AU525,OFFSET(Talents!L$2,Build!AU525,0)," ")</f>
        <v>#N/A</v>
      </c>
      <c r="AZ525" s="168" t="e">
        <f ca="1">VALUE(RIGHT("00"&amp;OFFSET(Front!Q$13,MATCH(AV525,Front!A$14:A$43,0),0),2))</f>
        <v>#N/A</v>
      </c>
      <c r="BA525" s="168">
        <f t="shared" si="98"/>
        <v>0</v>
      </c>
      <c r="BB525" s="215" t="b">
        <f t="shared" si="73"/>
        <v>0</v>
      </c>
      <c r="BC525" s="106"/>
      <c r="BD525" s="106"/>
      <c r="BQ525" s="211">
        <f t="shared" si="108"/>
        <v>27</v>
      </c>
      <c r="BR525" s="249" t="str">
        <f t="shared" si="117"/>
        <v>Dress, Embroidered</v>
      </c>
      <c r="BS525" s="168">
        <f t="shared" si="118"/>
        <v>0</v>
      </c>
      <c r="BT525" s="168">
        <f t="shared" si="119"/>
        <v>22</v>
      </c>
      <c r="BU525" s="168" t="s">
        <v>2584</v>
      </c>
      <c r="BV525" s="249">
        <f t="shared" si="124"/>
        <v>6</v>
      </c>
      <c r="BW525" s="249" t="str">
        <f t="shared" si="125"/>
        <v>Embroidered Dress</v>
      </c>
      <c r="BX525" s="249" t="str">
        <f t="shared" si="105"/>
        <v> </v>
      </c>
      <c r="BY525" s="168">
        <f t="shared" si="109"/>
        <v>0</v>
      </c>
      <c r="BZ525" s="215" t="b">
        <f t="shared" si="106"/>
        <v>0</v>
      </c>
    </row>
    <row r="526" spans="2:78" ht="12.75">
      <c r="B526" s="137">
        <v>11</v>
      </c>
      <c r="C526" s="112" t="str">
        <f t="shared" si="54"/>
        <v> </v>
      </c>
      <c r="D526" s="112" t="str">
        <f t="shared" si="84"/>
        <v> </v>
      </c>
      <c r="E526" s="122">
        <f t="shared" si="55"/>
        <v>0</v>
      </c>
      <c r="F526" s="134">
        <f ca="1" t="shared" si="126"/>
        <v>0</v>
      </c>
      <c r="G526" s="122">
        <f>IF(C526&lt;&gt;" ",MATCH(D526,Talents!B$3:B$278,1),0)</f>
        <v>0</v>
      </c>
      <c r="H526" s="122" t="str">
        <f ca="1">IF(G526=0," ",OFFSET(Talents!C$2,G526,0))</f>
        <v> </v>
      </c>
      <c r="I526" s="122" t="str">
        <f ca="1">IF(G526=0," ",OFFSET(Talents!D$2,G526,0))</f>
        <v> </v>
      </c>
      <c r="J526" s="122" t="str">
        <f t="shared" si="86"/>
        <v> </v>
      </c>
      <c r="K526" s="122">
        <f t="shared" si="56"/>
        <v>0</v>
      </c>
      <c r="L526" s="122" t="str">
        <f t="shared" si="57"/>
        <v> </v>
      </c>
      <c r="M526" s="122" t="str">
        <f ca="1" t="shared" si="87"/>
        <v>-</v>
      </c>
      <c r="N526" s="112" t="b">
        <f t="shared" si="58"/>
        <v>0</v>
      </c>
      <c r="O526" s="122" t="str">
        <f ca="1">IF(G526&gt;0,IF(N526,"D",OFFSET(Talents!E$2,G526,0))&amp;OFFSET(Talents!F$2,G526,0)," ")</f>
        <v> </v>
      </c>
      <c r="P526" s="122" t="b">
        <f t="shared" si="59"/>
        <v>0</v>
      </c>
      <c r="Q526" s="169">
        <f t="shared" si="88"/>
        <v>0</v>
      </c>
      <c r="R526" s="215" t="b">
        <f t="shared" si="60"/>
        <v>0</v>
      </c>
      <c r="S526" s="106"/>
      <c r="T526" s="106"/>
      <c r="U526" s="169">
        <f t="shared" si="90"/>
        <v>0</v>
      </c>
      <c r="V526" s="168"/>
      <c r="W526" s="169">
        <f t="shared" si="91"/>
        <v>0</v>
      </c>
      <c r="X526" s="168">
        <f t="shared" si="92"/>
        <v>0</v>
      </c>
      <c r="Y526" s="168">
        <f t="shared" si="93"/>
        <v>0</v>
      </c>
      <c r="Z526" s="215">
        <f t="shared" si="94"/>
        <v>0</v>
      </c>
      <c r="AA526" s="169" t="b">
        <f t="shared" si="61"/>
        <v>0</v>
      </c>
      <c r="AB526" s="168" t="b">
        <f t="shared" si="62"/>
        <v>0</v>
      </c>
      <c r="AC526" s="168" t="b">
        <f t="shared" si="63"/>
        <v>0</v>
      </c>
      <c r="AD526" s="215" t="b">
        <f t="shared" si="64"/>
        <v>0</v>
      </c>
      <c r="AE526" s="349">
        <f ca="1">IF(AND(Elem!D34&lt;&gt;"",Elem!AO34=""),OFFSET(Spells!H$2,AA526,0),"")</f>
      </c>
      <c r="AF526" s="349">
        <f ca="1">IF(AND(Ill!D34&lt;&gt;"",Ill!AO34=""),OFFSET(Spells!R$2,AB526,0),"")</f>
      </c>
      <c r="AG526" s="349">
        <f ca="1">IF(AND(Neth!D34&lt;&gt;"",Neth!AO34=""),OFFSET(Spells!AB$2,AC526,0),"")</f>
      </c>
      <c r="AH526" s="319">
        <f ca="1">IF(AND(Wiz!D34&lt;&gt;"",Wiz!AO34=""),OFFSET(Spells!AL$2,AD526,0),"")</f>
      </c>
      <c r="AI526" s="170" t="str">
        <f t="shared" si="127"/>
        <v> </v>
      </c>
      <c r="AJ526" s="168">
        <f t="shared" si="128"/>
        <v>0</v>
      </c>
      <c r="AK526" s="168">
        <f ca="1" t="shared" si="67"/>
        <v>0</v>
      </c>
      <c r="AL526" s="168">
        <f t="shared" si="115"/>
        <v>0</v>
      </c>
      <c r="AM526" s="215"/>
      <c r="AN526" s="170" t="str">
        <f t="shared" si="120"/>
        <v> </v>
      </c>
      <c r="AO526" s="168">
        <f t="shared" si="121"/>
        <v>0</v>
      </c>
      <c r="AP526" s="168">
        <f ca="1" t="shared" si="96"/>
        <v>0</v>
      </c>
      <c r="AQ526" s="168" t="str">
        <f t="shared" si="122"/>
        <v> </v>
      </c>
      <c r="AR526" s="168">
        <f t="shared" si="97"/>
        <v>0</v>
      </c>
      <c r="AS526" s="168"/>
      <c r="AT526" s="170" t="str">
        <f t="shared" si="123"/>
        <v> </v>
      </c>
      <c r="AU526" s="249" t="e">
        <f>IF(AND(AT526&lt;&gt;" ",NOT(MATCH(AT526,AT$504:AT$516))),MATCH(AT526,Talents!H$3:H$129))</f>
        <v>#N/A</v>
      </c>
      <c r="AV526" s="249" t="e">
        <f ca="1">IF(AU526,OFFSET(Talents!I$2,Build!AU526,0)," ")</f>
        <v>#N/A</v>
      </c>
      <c r="AW526" s="168" t="e">
        <f ca="1">IF(AU526,OFFSET(Talents!K$2,Build!AU526,0)," ")</f>
        <v>#N/A</v>
      </c>
      <c r="AX526" s="168" t="e">
        <f ca="1">IF(AU526,OFFSET(Talents!J$2,Build!AU526,0)," ")</f>
        <v>#N/A</v>
      </c>
      <c r="AY526" s="168" t="e">
        <f ca="1">IF(AU526,OFFSET(Talents!L$2,Build!AU526,0)," ")</f>
        <v>#N/A</v>
      </c>
      <c r="AZ526" s="168" t="e">
        <f ca="1">VALUE(RIGHT("00"&amp;OFFSET(Front!Q$13,MATCH(AV526,Front!A$14:A$43,0),0),2))</f>
        <v>#N/A</v>
      </c>
      <c r="BA526" s="168">
        <f t="shared" si="98"/>
        <v>0</v>
      </c>
      <c r="BB526" s="215" t="b">
        <f t="shared" si="73"/>
        <v>0</v>
      </c>
      <c r="BC526" s="106"/>
      <c r="BD526" s="106"/>
      <c r="BQ526" s="211">
        <f t="shared" si="108"/>
        <v>28</v>
      </c>
      <c r="BR526" s="249" t="str">
        <f t="shared" si="117"/>
        <v>Dress, Satin</v>
      </c>
      <c r="BS526" s="168">
        <f t="shared" si="118"/>
        <v>0</v>
      </c>
      <c r="BT526" s="168">
        <f t="shared" si="119"/>
        <v>100</v>
      </c>
      <c r="BU526" s="168" t="s">
        <v>2584</v>
      </c>
      <c r="BV526" s="249">
        <f t="shared" si="124"/>
        <v>6</v>
      </c>
      <c r="BW526" s="249" t="str">
        <f t="shared" si="125"/>
        <v>Satin Dress</v>
      </c>
      <c r="BX526" s="249" t="str">
        <f t="shared" si="105"/>
        <v> </v>
      </c>
      <c r="BY526" s="168">
        <f t="shared" si="109"/>
        <v>0</v>
      </c>
      <c r="BZ526" s="215" t="b">
        <f t="shared" si="106"/>
        <v>0</v>
      </c>
    </row>
    <row r="527" spans="2:78" ht="12.75">
      <c r="B527" s="137">
        <v>11</v>
      </c>
      <c r="C527" s="112" t="str">
        <f t="shared" si="54"/>
        <v> </v>
      </c>
      <c r="D527" s="112" t="str">
        <f t="shared" si="84"/>
        <v> </v>
      </c>
      <c r="E527" s="122">
        <f t="shared" si="55"/>
        <v>0</v>
      </c>
      <c r="F527" s="134">
        <f ca="1" t="shared" si="126"/>
        <v>0</v>
      </c>
      <c r="G527" s="122">
        <f>IF(C527&lt;&gt;" ",MATCH(D527,Talents!B$3:B$278,1),0)</f>
        <v>0</v>
      </c>
      <c r="H527" s="122" t="str">
        <f ca="1">IF(G527=0," ",OFFSET(Talents!C$2,G527,0))</f>
        <v> </v>
      </c>
      <c r="I527" s="122" t="str">
        <f ca="1">IF(G527=0," ",OFFSET(Talents!D$2,G527,0))</f>
        <v> </v>
      </c>
      <c r="J527" s="122" t="str">
        <f t="shared" si="86"/>
        <v> </v>
      </c>
      <c r="K527" s="122">
        <f t="shared" si="56"/>
        <v>0</v>
      </c>
      <c r="L527" s="122" t="str">
        <f t="shared" si="57"/>
        <v> </v>
      </c>
      <c r="M527" s="122" t="str">
        <f ca="1" t="shared" si="87"/>
        <v>-</v>
      </c>
      <c r="N527" s="112" t="b">
        <f t="shared" si="58"/>
        <v>0</v>
      </c>
      <c r="O527" s="122" t="str">
        <f ca="1">IF(G527&gt;0,IF(N527,"D",OFFSET(Talents!E$2,G527,0))&amp;OFFSET(Talents!F$2,G527,0)," ")</f>
        <v> </v>
      </c>
      <c r="P527" s="122" t="b">
        <f t="shared" si="59"/>
        <v>0</v>
      </c>
      <c r="Q527" s="169">
        <f t="shared" si="88"/>
        <v>0</v>
      </c>
      <c r="R527" s="215" t="b">
        <f t="shared" si="60"/>
        <v>0</v>
      </c>
      <c r="S527" s="106"/>
      <c r="T527" s="106"/>
      <c r="U527" s="169">
        <f t="shared" si="90"/>
        <v>0</v>
      </c>
      <c r="V527" s="168"/>
      <c r="W527" s="169">
        <f t="shared" si="91"/>
        <v>0</v>
      </c>
      <c r="X527" s="168">
        <f t="shared" si="92"/>
        <v>0</v>
      </c>
      <c r="Y527" s="168">
        <f t="shared" si="93"/>
        <v>0</v>
      </c>
      <c r="Z527" s="215">
        <f t="shared" si="94"/>
        <v>0</v>
      </c>
      <c r="AA527" s="169" t="b">
        <f t="shared" si="61"/>
        <v>0</v>
      </c>
      <c r="AB527" s="168" t="b">
        <f t="shared" si="62"/>
        <v>0</v>
      </c>
      <c r="AC527" s="168" t="b">
        <f t="shared" si="63"/>
        <v>0</v>
      </c>
      <c r="AD527" s="215" t="b">
        <f t="shared" si="64"/>
        <v>0</v>
      </c>
      <c r="AE527" s="349">
        <f ca="1">IF(AND(Elem!D35&lt;&gt;"",Elem!AO35=""),OFFSET(Spells!H$2,AA527,0),"")</f>
      </c>
      <c r="AF527" s="349">
        <f ca="1">IF(AND(Ill!D35&lt;&gt;"",Ill!AO35=""),OFFSET(Spells!R$2,AB527,0),"")</f>
      </c>
      <c r="AG527" s="349">
        <f ca="1">IF(AND(Neth!D35&lt;&gt;"",Neth!AO35=""),OFFSET(Spells!AB$2,AC527,0),"")</f>
      </c>
      <c r="AH527" s="319">
        <f ca="1">IF(AND(Wiz!D35&lt;&gt;"",Wiz!AO35=""),OFFSET(Spells!AL$2,AD527,0),"")</f>
      </c>
      <c r="AI527" s="170" t="str">
        <f t="shared" si="127"/>
        <v> </v>
      </c>
      <c r="AJ527" s="168">
        <f t="shared" si="128"/>
        <v>0</v>
      </c>
      <c r="AK527" s="168">
        <f ca="1" t="shared" si="67"/>
        <v>0</v>
      </c>
      <c r="AL527" s="168">
        <f t="shared" si="115"/>
        <v>0</v>
      </c>
      <c r="AM527" s="215"/>
      <c r="AN527" s="170" t="str">
        <f t="shared" si="120"/>
        <v> </v>
      </c>
      <c r="AO527" s="168">
        <f t="shared" si="121"/>
        <v>0</v>
      </c>
      <c r="AP527" s="168">
        <f ca="1" t="shared" si="96"/>
        <v>0</v>
      </c>
      <c r="AQ527" s="168" t="str">
        <f t="shared" si="122"/>
        <v> </v>
      </c>
      <c r="AR527" s="168">
        <f t="shared" si="97"/>
        <v>0</v>
      </c>
      <c r="AS527" s="215"/>
      <c r="AT527" s="170" t="str">
        <f t="shared" si="123"/>
        <v> </v>
      </c>
      <c r="AU527" s="249" t="e">
        <f>IF(AND(AT527&lt;&gt;" ",NOT(MATCH(AT527,AT$504:AT$516))),MATCH(AT527,Talents!H$3:H$129))</f>
        <v>#N/A</v>
      </c>
      <c r="AV527" s="249" t="e">
        <f ca="1">IF(AU527,OFFSET(Talents!I$2,Build!AU527,0)," ")</f>
        <v>#N/A</v>
      </c>
      <c r="AW527" s="168" t="e">
        <f ca="1">IF(AU527,OFFSET(Talents!K$2,Build!AU527,0)," ")</f>
        <v>#N/A</v>
      </c>
      <c r="AX527" s="168" t="e">
        <f ca="1">IF(AU527,OFFSET(Talents!J$2,Build!AU527,0)," ")</f>
        <v>#N/A</v>
      </c>
      <c r="AY527" s="168" t="e">
        <f ca="1">IF(AU527,OFFSET(Talents!L$2,Build!AU527,0)," ")</f>
        <v>#N/A</v>
      </c>
      <c r="AZ527" s="168" t="e">
        <f ca="1">VALUE(RIGHT("00"&amp;OFFSET(Front!Q$13,MATCH(AV527,Front!A$14:A$43,0),0),2))</f>
        <v>#N/A</v>
      </c>
      <c r="BA527" s="168">
        <f t="shared" si="98"/>
        <v>0</v>
      </c>
      <c r="BB527" s="215" t="b">
        <f t="shared" si="73"/>
        <v>0</v>
      </c>
      <c r="BC527" s="106"/>
      <c r="BD527" s="106"/>
      <c r="BQ527" s="211">
        <f t="shared" si="108"/>
        <v>29</v>
      </c>
      <c r="BR527" s="249" t="str">
        <f t="shared" si="117"/>
        <v>Dress, Ballroom gown</v>
      </c>
      <c r="BS527" s="168">
        <f t="shared" si="118"/>
        <v>0</v>
      </c>
      <c r="BT527" s="168">
        <f t="shared" si="119"/>
        <v>250</v>
      </c>
      <c r="BU527" s="168" t="s">
        <v>2584</v>
      </c>
      <c r="BV527" s="249">
        <f t="shared" si="124"/>
        <v>6</v>
      </c>
      <c r="BW527" s="249" t="str">
        <f t="shared" si="125"/>
        <v>Ballroom gown Dress</v>
      </c>
      <c r="BX527" s="249" t="str">
        <f t="shared" si="105"/>
        <v> </v>
      </c>
      <c r="BY527" s="168">
        <f t="shared" si="109"/>
        <v>0</v>
      </c>
      <c r="BZ527" s="215" t="b">
        <f t="shared" si="106"/>
        <v>0</v>
      </c>
    </row>
    <row r="528" spans="2:78" ht="12.75">
      <c r="B528" s="137">
        <v>12</v>
      </c>
      <c r="C528" s="112" t="str">
        <f t="shared" si="54"/>
        <v> </v>
      </c>
      <c r="D528" s="112" t="str">
        <f t="shared" si="84"/>
        <v> </v>
      </c>
      <c r="E528" s="122">
        <f t="shared" si="55"/>
        <v>0</v>
      </c>
      <c r="F528" s="134">
        <f ca="1" t="shared" si="126"/>
        <v>0</v>
      </c>
      <c r="G528" s="122">
        <f>IF(C528&lt;&gt;" ",MATCH(D528,Talents!B$3:B$278,1),0)</f>
        <v>0</v>
      </c>
      <c r="H528" s="122" t="str">
        <f ca="1">IF(G528=0," ",OFFSET(Talents!C$2,G528,0))</f>
        <v> </v>
      </c>
      <c r="I528" s="122" t="str">
        <f ca="1">IF(G528=0," ",OFFSET(Talents!D$2,G528,0))</f>
        <v> </v>
      </c>
      <c r="J528" s="122" t="str">
        <f t="shared" si="86"/>
        <v> </v>
      </c>
      <c r="K528" s="122">
        <f t="shared" si="56"/>
        <v>0</v>
      </c>
      <c r="L528" s="122" t="str">
        <f t="shared" si="57"/>
        <v> </v>
      </c>
      <c r="M528" s="122" t="str">
        <f ca="1" t="shared" si="87"/>
        <v>-</v>
      </c>
      <c r="N528" s="112" t="b">
        <f t="shared" si="58"/>
        <v>0</v>
      </c>
      <c r="O528" s="122" t="str">
        <f ca="1">IF(G528&gt;0,IF(N528,"D",OFFSET(Talents!E$2,G528,0))&amp;OFFSET(Talents!F$2,G528,0)," ")</f>
        <v> </v>
      </c>
      <c r="P528" s="122" t="b">
        <f t="shared" si="59"/>
        <v>0</v>
      </c>
      <c r="Q528" s="169">
        <f t="shared" si="88"/>
        <v>0</v>
      </c>
      <c r="R528" s="215" t="b">
        <f t="shared" si="60"/>
        <v>0</v>
      </c>
      <c r="S528" s="106"/>
      <c r="T528" s="106"/>
      <c r="U528" s="169">
        <f t="shared" si="90"/>
        <v>0</v>
      </c>
      <c r="V528" s="168"/>
      <c r="W528" s="169">
        <f t="shared" si="91"/>
        <v>0</v>
      </c>
      <c r="X528" s="168">
        <f t="shared" si="92"/>
        <v>0</v>
      </c>
      <c r="Y528" s="168">
        <f t="shared" si="93"/>
        <v>0</v>
      </c>
      <c r="Z528" s="215">
        <f t="shared" si="94"/>
        <v>0</v>
      </c>
      <c r="AA528" s="169" t="b">
        <f t="shared" si="61"/>
        <v>0</v>
      </c>
      <c r="AB528" s="168" t="b">
        <f t="shared" si="62"/>
        <v>0</v>
      </c>
      <c r="AC528" s="168" t="b">
        <f t="shared" si="63"/>
        <v>0</v>
      </c>
      <c r="AD528" s="215" t="b">
        <f t="shared" si="64"/>
        <v>0</v>
      </c>
      <c r="AE528" s="349">
        <f ca="1">IF(AND(Elem!D36&lt;&gt;"",Elem!AO36=""),OFFSET(Spells!H$2,AA528,0),"")</f>
      </c>
      <c r="AF528" s="349">
        <f ca="1">IF(AND(Ill!D36&lt;&gt;"",Ill!AO36=""),OFFSET(Spells!R$2,AB528,0),"")</f>
      </c>
      <c r="AG528" s="349">
        <f ca="1">IF(AND(Neth!D36&lt;&gt;"",Neth!AO36=""),OFFSET(Spells!AB$2,AC528,0),"")</f>
      </c>
      <c r="AH528" s="319">
        <f ca="1">IF(AND(Wiz!D36&lt;&gt;"",Wiz!AO36=""),OFFSET(Spells!AL$2,AD528,0),"")</f>
      </c>
      <c r="AI528" s="170" t="str">
        <f t="shared" si="127"/>
        <v> </v>
      </c>
      <c r="AJ528" s="168">
        <f t="shared" si="128"/>
        <v>0</v>
      </c>
      <c r="AK528" s="168">
        <f ca="1" t="shared" si="67"/>
        <v>0</v>
      </c>
      <c r="AL528" s="168">
        <f t="shared" si="115"/>
        <v>0</v>
      </c>
      <c r="AM528" s="215"/>
      <c r="AN528" s="170" t="str">
        <f aca="true" t="shared" si="129" ref="AN528:AN558">K73&amp;IF(Q73&lt;&gt;""," ("&amp;Q73&amp;")","")</f>
        <v>Acrobatics</v>
      </c>
      <c r="AO528" s="168">
        <f aca="true" t="shared" si="130" ref="AO528:AO558">O73</f>
        <v>0</v>
      </c>
      <c r="AP528" s="168">
        <f ca="1" t="shared" si="96"/>
        <v>0</v>
      </c>
      <c r="AQ528" s="168" t="str">
        <f aca="true" t="shared" si="131" ref="AQ528:AQ558">P73</f>
        <v>D</v>
      </c>
      <c r="AR528" s="168">
        <f t="shared" si="97"/>
        <v>0</v>
      </c>
      <c r="AS528" s="215"/>
      <c r="AT528" s="170" t="str">
        <f t="shared" si="123"/>
        <v> </v>
      </c>
      <c r="AU528" s="249" t="e">
        <f>IF(AND(AT528&lt;&gt;" ",NOT(MATCH(AT528,AT$504:AT$516))),MATCH(AT528,Talents!H$3:H$129))</f>
        <v>#N/A</v>
      </c>
      <c r="AV528" s="249" t="e">
        <f ca="1">IF(AU528,OFFSET(Talents!I$2,Build!AU528,0)," ")</f>
        <v>#N/A</v>
      </c>
      <c r="AW528" s="168" t="e">
        <f ca="1">IF(AU528,OFFSET(Talents!K$2,Build!AU528,0)," ")</f>
        <v>#N/A</v>
      </c>
      <c r="AX528" s="168" t="e">
        <f ca="1">IF(AU528,OFFSET(Talents!J$2,Build!AU528,0)," ")</f>
        <v>#N/A</v>
      </c>
      <c r="AY528" s="168" t="e">
        <f ca="1">IF(AU528,OFFSET(Talents!L$2,Build!AU528,0)," ")</f>
        <v>#N/A</v>
      </c>
      <c r="AZ528" s="168" t="e">
        <f ca="1">VALUE(RIGHT("00"&amp;OFFSET(Front!Q$13,MATCH(AV528,Front!A$14:A$43,0),0),2))</f>
        <v>#N/A</v>
      </c>
      <c r="BA528" s="168">
        <f t="shared" si="98"/>
        <v>0</v>
      </c>
      <c r="BB528" s="215" t="b">
        <f t="shared" si="73"/>
        <v>0</v>
      </c>
      <c r="BC528" s="106"/>
      <c r="BD528" s="106"/>
      <c r="BQ528" s="211">
        <f t="shared" si="108"/>
        <v>30</v>
      </c>
      <c r="BR528" s="249" t="str">
        <f t="shared" si="117"/>
        <v>Dress, Theran</v>
      </c>
      <c r="BS528" s="168">
        <f t="shared" si="118"/>
        <v>0</v>
      </c>
      <c r="BT528" s="168">
        <f t="shared" si="119"/>
        <v>560</v>
      </c>
      <c r="BU528" s="168" t="s">
        <v>2584</v>
      </c>
      <c r="BV528" s="249">
        <f t="shared" si="124"/>
        <v>6</v>
      </c>
      <c r="BW528" s="249" t="str">
        <f t="shared" si="125"/>
        <v>Theran Dress</v>
      </c>
      <c r="BX528" s="249" t="str">
        <f t="shared" si="105"/>
        <v> </v>
      </c>
      <c r="BY528" s="168">
        <f t="shared" si="109"/>
        <v>0</v>
      </c>
      <c r="BZ528" s="215" t="b">
        <f t="shared" si="106"/>
        <v>0</v>
      </c>
    </row>
    <row r="529" spans="2:78" ht="12.75">
      <c r="B529" s="137">
        <v>12</v>
      </c>
      <c r="C529" s="112" t="str">
        <f t="shared" si="54"/>
        <v> </v>
      </c>
      <c r="D529" s="112" t="str">
        <f t="shared" si="84"/>
        <v> </v>
      </c>
      <c r="E529" s="122">
        <f t="shared" si="55"/>
        <v>0</v>
      </c>
      <c r="F529" s="134">
        <f ca="1" t="shared" si="126"/>
        <v>0</v>
      </c>
      <c r="G529" s="122">
        <f>IF(C529&lt;&gt;" ",MATCH(D529,Talents!B$3:B$278,1),0)</f>
        <v>0</v>
      </c>
      <c r="H529" s="122" t="str">
        <f ca="1">IF(G529=0," ",OFFSET(Talents!C$2,G529,0))</f>
        <v> </v>
      </c>
      <c r="I529" s="122" t="str">
        <f ca="1">IF(G529=0," ",OFFSET(Talents!D$2,G529,0))</f>
        <v> </v>
      </c>
      <c r="J529" s="122" t="str">
        <f t="shared" si="86"/>
        <v> </v>
      </c>
      <c r="K529" s="122">
        <f t="shared" si="56"/>
        <v>0</v>
      </c>
      <c r="L529" s="122" t="str">
        <f t="shared" si="57"/>
        <v> </v>
      </c>
      <c r="M529" s="122" t="str">
        <f ca="1" t="shared" si="87"/>
        <v>-</v>
      </c>
      <c r="N529" s="112" t="b">
        <f t="shared" si="58"/>
        <v>0</v>
      </c>
      <c r="O529" s="122" t="str">
        <f ca="1">IF(G529&gt;0,IF(N529,"D",OFFSET(Talents!E$2,G529,0))&amp;OFFSET(Talents!F$2,G529,0)," ")</f>
        <v> </v>
      </c>
      <c r="P529" s="122" t="b">
        <f t="shared" si="59"/>
        <v>0</v>
      </c>
      <c r="Q529" s="169">
        <f t="shared" si="88"/>
        <v>0</v>
      </c>
      <c r="R529" s="215"/>
      <c r="S529" s="106"/>
      <c r="T529" s="106"/>
      <c r="U529" s="169">
        <f t="shared" si="90"/>
        <v>0</v>
      </c>
      <c r="V529" s="168"/>
      <c r="W529" s="169">
        <f aca="true" t="shared" si="132" ref="W529:W558">W528+IF(H336&lt;&gt;"",1,0)</f>
        <v>0</v>
      </c>
      <c r="X529" s="168">
        <f aca="true" t="shared" si="133" ref="X529:X558">X528+IF(H368&lt;&gt;"",1,0)</f>
        <v>0</v>
      </c>
      <c r="Y529" s="168">
        <f aca="true" t="shared" si="134" ref="Y529:Y558">Y528+IF(H400&lt;&gt;"",1,0)</f>
        <v>0</v>
      </c>
      <c r="Z529" s="215">
        <f aca="true" t="shared" si="135" ref="Z529:Z558">Z528+IF(H432&lt;&gt;"",1,0)</f>
        <v>0</v>
      </c>
      <c r="AA529" s="169" t="b">
        <f t="shared" si="61"/>
        <v>0</v>
      </c>
      <c r="AB529" s="168" t="b">
        <f t="shared" si="62"/>
        <v>0</v>
      </c>
      <c r="AC529" s="168" t="b">
        <f t="shared" si="63"/>
        <v>0</v>
      </c>
      <c r="AD529" s="215" t="b">
        <f t="shared" si="64"/>
        <v>0</v>
      </c>
      <c r="AE529" s="349">
        <f ca="1">IF(AND(Elem!D37&lt;&gt;"",Elem!AO37=""),OFFSET(Spells!H$2,AA529,0),"")</f>
      </c>
      <c r="AF529" s="349">
        <f ca="1">IF(AND(Ill!D37&lt;&gt;"",Ill!AO37=""),OFFSET(Spells!R$2,AB529,0),"")</f>
      </c>
      <c r="AG529" s="349">
        <f ca="1">IF(AND(Neth!D37&lt;&gt;"",Neth!AO37=""),OFFSET(Spells!AB$2,AC529,0),"")</f>
      </c>
      <c r="AH529" s="319">
        <f ca="1">IF(AND(Wiz!D37&lt;&gt;"",Wiz!AO37=""),OFFSET(Spells!AL$2,AD529,0),"")</f>
      </c>
      <c r="AI529" s="170" t="str">
        <f t="shared" si="127"/>
        <v> </v>
      </c>
      <c r="AJ529" s="168">
        <f t="shared" si="128"/>
        <v>0</v>
      </c>
      <c r="AK529" s="168">
        <f ca="1" t="shared" si="67"/>
        <v>0</v>
      </c>
      <c r="AL529" s="168">
        <f t="shared" si="115"/>
        <v>0</v>
      </c>
      <c r="AM529" s="215"/>
      <c r="AN529" s="170" t="str">
        <f t="shared" si="129"/>
        <v>Animal Handling</v>
      </c>
      <c r="AO529" s="168">
        <f t="shared" si="130"/>
        <v>0</v>
      </c>
      <c r="AP529" s="168">
        <f ca="1" t="shared" si="96"/>
        <v>0</v>
      </c>
      <c r="AQ529" s="168" t="str">
        <f t="shared" si="131"/>
        <v>W</v>
      </c>
      <c r="AR529" s="168">
        <f aca="true" t="shared" si="136" ref="AR529:AR558">AR528+IF(AND(AN529&lt;&gt;" ",AO529&gt;0),1,0)</f>
        <v>0</v>
      </c>
      <c r="AS529" s="215"/>
      <c r="AT529" s="209" t="str">
        <f t="shared" si="123"/>
        <v> </v>
      </c>
      <c r="AU529" s="114" t="e">
        <f>IF(AND(AT529&lt;&gt;" ",NOT(MATCH(AT529,AT$504:AT$516))),MATCH(AT529,Talents!H$3:H$129))</f>
        <v>#N/A</v>
      </c>
      <c r="AV529" s="114" t="e">
        <f ca="1">IF(AU529,OFFSET(Talents!I$2,Build!AU529,0)," ")</f>
        <v>#N/A</v>
      </c>
      <c r="AW529" s="131" t="e">
        <f ca="1">IF(AU529,OFFSET(Talents!K$2,Build!AU529,0)," ")</f>
        <v>#N/A</v>
      </c>
      <c r="AX529" s="131" t="e">
        <f ca="1">IF(AU529,OFFSET(Talents!J$2,Build!AU529,0)," ")</f>
        <v>#N/A</v>
      </c>
      <c r="AY529" s="131" t="e">
        <f ca="1">IF(AU529,OFFSET(Talents!L$2,Build!AU529,0)," ")</f>
        <v>#N/A</v>
      </c>
      <c r="AZ529" s="131" t="e">
        <f ca="1">VALUE(RIGHT("00"&amp;OFFSET(Front!Q$13,MATCH(AV529,Front!A$14:A$43,0),0),2))</f>
        <v>#N/A</v>
      </c>
      <c r="BA529" s="131">
        <f t="shared" si="98"/>
        <v>0</v>
      </c>
      <c r="BB529" s="132" t="b">
        <f t="shared" si="73"/>
        <v>0</v>
      </c>
      <c r="BC529" s="106"/>
      <c r="BD529" s="106"/>
      <c r="BQ529" s="211">
        <f t="shared" si="108"/>
        <v>31</v>
      </c>
      <c r="BR529" s="249" t="str">
        <f t="shared" si="117"/>
        <v>Girdle, Normal</v>
      </c>
      <c r="BS529" s="168">
        <f t="shared" si="118"/>
        <v>0</v>
      </c>
      <c r="BT529" s="168">
        <f t="shared" si="119"/>
        <v>5</v>
      </c>
      <c r="BU529" s="168" t="s">
        <v>2584</v>
      </c>
      <c r="BV529" s="249">
        <f t="shared" si="124"/>
        <v>7</v>
      </c>
      <c r="BW529" s="249" t="str">
        <f t="shared" si="125"/>
        <v>Normal Girdle</v>
      </c>
      <c r="BX529" s="249" t="str">
        <f t="shared" si="105"/>
        <v> </v>
      </c>
      <c r="BY529" s="168">
        <f t="shared" si="109"/>
        <v>0</v>
      </c>
      <c r="BZ529" s="215" t="b">
        <f t="shared" si="106"/>
        <v>0</v>
      </c>
    </row>
    <row r="530" spans="2:78" ht="12.75">
      <c r="B530" s="137">
        <v>13</v>
      </c>
      <c r="C530" s="112" t="str">
        <f t="shared" si="54"/>
        <v> </v>
      </c>
      <c r="D530" s="112" t="str">
        <f t="shared" si="84"/>
        <v> </v>
      </c>
      <c r="E530" s="122">
        <f t="shared" si="55"/>
        <v>0</v>
      </c>
      <c r="F530" s="134">
        <f aca="true" ca="1" t="shared" si="137" ref="F530:F535">OFFSET(Cost_13_15,E530,0)</f>
        <v>0</v>
      </c>
      <c r="G530" s="122">
        <f>IF(C530&lt;&gt;" ",MATCH(D530,Talents!B$3:B$278,1),0)</f>
        <v>0</v>
      </c>
      <c r="H530" s="122" t="str">
        <f ca="1">IF(G530=0," ",OFFSET(Talents!C$2,G530,0))</f>
        <v> </v>
      </c>
      <c r="I530" s="122" t="str">
        <f ca="1">IF(G530=0," ",OFFSET(Talents!D$2,G530,0))</f>
        <v> </v>
      </c>
      <c r="J530" s="122" t="str">
        <f t="shared" si="86"/>
        <v> </v>
      </c>
      <c r="K530" s="122">
        <f t="shared" si="56"/>
        <v>0</v>
      </c>
      <c r="L530" s="122" t="str">
        <f t="shared" si="57"/>
        <v> </v>
      </c>
      <c r="M530" s="122" t="str">
        <f ca="1" t="shared" si="87"/>
        <v>-</v>
      </c>
      <c r="N530" s="112" t="b">
        <f t="shared" si="58"/>
        <v>0</v>
      </c>
      <c r="O530" s="122" t="str">
        <f ca="1">IF(G530&gt;0,IF(N530,"D",OFFSET(Talents!E$2,G530,0))&amp;OFFSET(Talents!F$2,G530,0)," ")</f>
        <v> </v>
      </c>
      <c r="P530" s="122" t="b">
        <f t="shared" si="59"/>
        <v>0</v>
      </c>
      <c r="Q530" s="169">
        <f t="shared" si="88"/>
        <v>0</v>
      </c>
      <c r="R530" s="215"/>
      <c r="S530" s="106"/>
      <c r="T530" s="106"/>
      <c r="U530" s="169">
        <f t="shared" si="90"/>
        <v>0</v>
      </c>
      <c r="V530" s="168"/>
      <c r="W530" s="169">
        <f t="shared" si="132"/>
        <v>0</v>
      </c>
      <c r="X530" s="168">
        <f t="shared" si="133"/>
        <v>0</v>
      </c>
      <c r="Y530" s="168">
        <f t="shared" si="134"/>
        <v>0</v>
      </c>
      <c r="Z530" s="215">
        <f t="shared" si="135"/>
        <v>0</v>
      </c>
      <c r="AA530" s="169" t="b">
        <f t="shared" si="61"/>
        <v>0</v>
      </c>
      <c r="AB530" s="168" t="b">
        <f t="shared" si="62"/>
        <v>0</v>
      </c>
      <c r="AC530" s="168" t="b">
        <f t="shared" si="63"/>
        <v>0</v>
      </c>
      <c r="AD530" s="215" t="b">
        <f t="shared" si="64"/>
        <v>0</v>
      </c>
      <c r="AE530" s="349">
        <f ca="1">IF(AND(Elem!D38&lt;&gt;"",Elem!AO38=""),OFFSET(Spells!H$2,AA530,0),"")</f>
      </c>
      <c r="AF530" s="349">
        <f ca="1">IF(AND(Ill!D38&lt;&gt;"",Ill!AO38=""),OFFSET(Spells!R$2,AB530,0),"")</f>
      </c>
      <c r="AG530" s="349">
        <f ca="1">IF(AND(Neth!D38&lt;&gt;"",Neth!AO38=""),OFFSET(Spells!AB$2,AC530,0),"")</f>
      </c>
      <c r="AH530" s="319">
        <f ca="1">IF(AND(Wiz!D38&lt;&gt;"",Wiz!AO38=""),OFFSET(Spells!AL$2,AD530,0),"")</f>
      </c>
      <c r="AI530" s="170" t="str">
        <f t="shared" si="127"/>
        <v> </v>
      </c>
      <c r="AJ530" s="168">
        <f t="shared" si="128"/>
        <v>0</v>
      </c>
      <c r="AK530" s="168">
        <f ca="1" t="shared" si="67"/>
        <v>0</v>
      </c>
      <c r="AL530" s="168">
        <f t="shared" si="115"/>
        <v>0</v>
      </c>
      <c r="AM530" s="215"/>
      <c r="AN530" s="170" t="str">
        <f t="shared" si="129"/>
        <v>Bribery</v>
      </c>
      <c r="AO530" s="168">
        <f t="shared" si="130"/>
        <v>0</v>
      </c>
      <c r="AP530" s="168">
        <f ca="1" t="shared" si="96"/>
        <v>0</v>
      </c>
      <c r="AQ530" s="168" t="str">
        <f t="shared" si="131"/>
        <v>C</v>
      </c>
      <c r="AR530" s="168">
        <f t="shared" si="136"/>
        <v>0</v>
      </c>
      <c r="AS530" s="215"/>
      <c r="AY530" s="117"/>
      <c r="BQ530" s="211">
        <f t="shared" si="108"/>
        <v>32</v>
      </c>
      <c r="BR530" s="249" t="str">
        <f t="shared" si="117"/>
        <v>Girdle, Broad</v>
      </c>
      <c r="BS530" s="168">
        <f t="shared" si="118"/>
        <v>0</v>
      </c>
      <c r="BT530" s="168">
        <f t="shared" si="119"/>
        <v>8</v>
      </c>
      <c r="BU530" s="168" t="s">
        <v>2584</v>
      </c>
      <c r="BV530" s="249">
        <f t="shared" si="124"/>
        <v>7</v>
      </c>
      <c r="BW530" s="249" t="str">
        <f t="shared" si="125"/>
        <v>Broad Girdle</v>
      </c>
      <c r="BX530" s="249" t="str">
        <f t="shared" si="105"/>
        <v> </v>
      </c>
      <c r="BY530" s="168">
        <f t="shared" si="109"/>
        <v>0</v>
      </c>
      <c r="BZ530" s="215" t="b">
        <f t="shared" si="106"/>
        <v>0</v>
      </c>
    </row>
    <row r="531" spans="2:78" ht="12.75">
      <c r="B531" s="137">
        <v>13</v>
      </c>
      <c r="C531" s="112" t="str">
        <f t="shared" si="54"/>
        <v> </v>
      </c>
      <c r="D531" s="112" t="str">
        <f t="shared" si="84"/>
        <v> </v>
      </c>
      <c r="E531" s="122">
        <f t="shared" si="55"/>
        <v>0</v>
      </c>
      <c r="F531" s="134">
        <f ca="1" t="shared" si="137"/>
        <v>0</v>
      </c>
      <c r="G531" s="122">
        <f>IF(C531&lt;&gt;" ",MATCH(D531,Talents!B$3:B$278,1),0)</f>
        <v>0</v>
      </c>
      <c r="H531" s="122" t="str">
        <f ca="1">IF(G531=0," ",OFFSET(Talents!C$2,G531,0))</f>
        <v> </v>
      </c>
      <c r="I531" s="122" t="str">
        <f ca="1">IF(G531=0," ",OFFSET(Talents!D$2,G531,0))</f>
        <v> </v>
      </c>
      <c r="J531" s="122" t="str">
        <f t="shared" si="86"/>
        <v> </v>
      </c>
      <c r="K531" s="122">
        <f t="shared" si="56"/>
        <v>0</v>
      </c>
      <c r="L531" s="122" t="str">
        <f aca="true" t="shared" si="138" ref="L531:L562">IF(H531&lt;&gt;" ",E531+I531+VLOOKUP(H531,G$481:L$486,6,0)+K531," ")</f>
        <v> </v>
      </c>
      <c r="M531" s="122" t="str">
        <f ca="1" t="shared" si="87"/>
        <v>-</v>
      </c>
      <c r="N531" s="112" t="b">
        <f t="shared" si="58"/>
        <v>0</v>
      </c>
      <c r="O531" s="122" t="str">
        <f ca="1">IF(G531&gt;0,IF(N531,"D",OFFSET(Talents!E$2,G531,0))&amp;OFFSET(Talents!F$2,G531,0)," ")</f>
        <v> </v>
      </c>
      <c r="P531" s="122" t="b">
        <f t="shared" si="59"/>
        <v>0</v>
      </c>
      <c r="Q531" s="169">
        <f t="shared" si="88"/>
        <v>0</v>
      </c>
      <c r="R531" s="215"/>
      <c r="S531" s="106"/>
      <c r="T531" s="106"/>
      <c r="U531" s="169">
        <f t="shared" si="90"/>
        <v>0</v>
      </c>
      <c r="V531" s="168"/>
      <c r="W531" s="169">
        <f t="shared" si="132"/>
        <v>0</v>
      </c>
      <c r="X531" s="168">
        <f t="shared" si="133"/>
        <v>0</v>
      </c>
      <c r="Y531" s="168">
        <f t="shared" si="134"/>
        <v>0</v>
      </c>
      <c r="Z531" s="215">
        <f t="shared" si="135"/>
        <v>0</v>
      </c>
      <c r="AA531" s="169" t="b">
        <f aca="true" t="shared" si="139" ref="AA531:AA562">IF($BQ531&lt;=W$497,MATCH($BQ531,W$499:W$598,0))</f>
        <v>0</v>
      </c>
      <c r="AB531" s="168" t="b">
        <f aca="true" t="shared" si="140" ref="AB531:AB562">IF($BQ531&lt;=X$497,MATCH($BQ531,X$499:X$598,0))</f>
        <v>0</v>
      </c>
      <c r="AC531" s="168" t="b">
        <f aca="true" t="shared" si="141" ref="AC531:AC562">IF($BQ531&lt;=Y$497,MATCH($BQ531,Y$499:Y$598,0))</f>
        <v>0</v>
      </c>
      <c r="AD531" s="215" t="b">
        <f aca="true" t="shared" si="142" ref="AD531:AD562">IF($BQ531&lt;=Z$497,MATCH($BQ531,Z$499:Z$598,0))</f>
        <v>0</v>
      </c>
      <c r="AE531" s="349">
        <f ca="1">IF(AND(Elem!D39&lt;&gt;"",Elem!AO39=""),OFFSET(Spells!H$2,AA531,0),"")</f>
      </c>
      <c r="AF531" s="349">
        <f ca="1">IF(AND(Ill!D39&lt;&gt;"",Ill!AO39=""),OFFSET(Spells!R$2,AB531,0),"")</f>
      </c>
      <c r="AG531" s="349">
        <f ca="1">IF(AND(Neth!D39&lt;&gt;"",Neth!AO39=""),OFFSET(Spells!AB$2,AC531,0),"")</f>
      </c>
      <c r="AH531" s="319">
        <f ca="1">IF(AND(Wiz!D39&lt;&gt;"",Wiz!AO39=""),OFFSET(Spells!AL$2,AD531,0),"")</f>
      </c>
      <c r="AI531" s="170" t="str">
        <f t="shared" si="127"/>
        <v> </v>
      </c>
      <c r="AJ531" s="168">
        <f t="shared" si="128"/>
        <v>0</v>
      </c>
      <c r="AK531" s="168">
        <f aca="true" ca="1" t="shared" si="143" ref="AK531:AK560">OFFSET(Cost_5_8,AJ531,0)</f>
        <v>0</v>
      </c>
      <c r="AL531" s="168">
        <f t="shared" si="115"/>
        <v>0</v>
      </c>
      <c r="AM531" s="215"/>
      <c r="AN531" s="170" t="str">
        <f t="shared" si="129"/>
        <v>Conversation</v>
      </c>
      <c r="AO531" s="168">
        <f t="shared" si="130"/>
        <v>0</v>
      </c>
      <c r="AP531" s="168">
        <f ca="1" t="shared" si="96"/>
        <v>0</v>
      </c>
      <c r="AQ531" s="168" t="str">
        <f t="shared" si="131"/>
        <v>C</v>
      </c>
      <c r="AR531" s="168">
        <f t="shared" si="136"/>
        <v>0</v>
      </c>
      <c r="AS531" s="215"/>
      <c r="AY531" s="117"/>
      <c r="BQ531" s="211">
        <f t="shared" si="108"/>
        <v>33</v>
      </c>
      <c r="BR531" s="249" t="str">
        <f aca="true" t="shared" si="144" ref="BR531:BR546">N182</f>
        <v>Gloves, Leather</v>
      </c>
      <c r="BS531" s="168">
        <f aca="true" t="shared" si="145" ref="BS531:BS546">Q182</f>
        <v>0</v>
      </c>
      <c r="BT531" s="168">
        <f aca="true" t="shared" si="146" ref="BT531:BT546">R182</f>
        <v>2</v>
      </c>
      <c r="BU531" s="168" t="s">
        <v>2584</v>
      </c>
      <c r="BV531" s="249">
        <f t="shared" si="124"/>
        <v>7</v>
      </c>
      <c r="BW531" s="249" t="str">
        <f t="shared" si="125"/>
        <v>Leather Gloves</v>
      </c>
      <c r="BX531" s="249" t="str">
        <f t="shared" si="105"/>
        <v> </v>
      </c>
      <c r="BY531" s="168">
        <f t="shared" si="109"/>
        <v>0</v>
      </c>
      <c r="BZ531" s="215" t="b">
        <f t="shared" si="106"/>
        <v>0</v>
      </c>
    </row>
    <row r="532" spans="2:78" ht="12.75">
      <c r="B532" s="137">
        <v>14</v>
      </c>
      <c r="C532" s="112" t="str">
        <f t="shared" si="54"/>
        <v> </v>
      </c>
      <c r="D532" s="112" t="str">
        <f t="shared" si="84"/>
        <v> </v>
      </c>
      <c r="E532" s="122">
        <f t="shared" si="55"/>
        <v>0</v>
      </c>
      <c r="F532" s="134">
        <f ca="1" t="shared" si="137"/>
        <v>0</v>
      </c>
      <c r="G532" s="122">
        <f>IF(C532&lt;&gt;" ",MATCH(D532,Talents!B$3:B$278,1),0)</f>
        <v>0</v>
      </c>
      <c r="H532" s="122" t="str">
        <f ca="1">IF(G532=0," ",OFFSET(Talents!C$2,G532,0))</f>
        <v> </v>
      </c>
      <c r="I532" s="122" t="str">
        <f ca="1">IF(G532=0," ",OFFSET(Talents!D$2,G532,0))</f>
        <v> </v>
      </c>
      <c r="J532" s="122" t="str">
        <f t="shared" si="86"/>
        <v> </v>
      </c>
      <c r="K532" s="122">
        <f t="shared" si="56"/>
        <v>0</v>
      </c>
      <c r="L532" s="122" t="str">
        <f t="shared" si="138"/>
        <v> </v>
      </c>
      <c r="M532" s="122" t="str">
        <f ca="1" t="shared" si="87"/>
        <v>-</v>
      </c>
      <c r="N532" s="112" t="b">
        <f t="shared" si="58"/>
        <v>0</v>
      </c>
      <c r="O532" s="122" t="str">
        <f ca="1">IF(G532&gt;0,IF(N532,"D",OFFSET(Talents!E$2,G532,0))&amp;OFFSET(Talents!F$2,G532,0)," ")</f>
        <v> </v>
      </c>
      <c r="P532" s="122" t="b">
        <f t="shared" si="59"/>
        <v>0</v>
      </c>
      <c r="Q532" s="169">
        <f aca="true" t="shared" si="147" ref="Q532:Q563">Q531+IF(P532,1,0)</f>
        <v>0</v>
      </c>
      <c r="R532" s="215"/>
      <c r="S532" s="106"/>
      <c r="T532" s="106"/>
      <c r="U532" s="169">
        <f t="shared" si="90"/>
        <v>0</v>
      </c>
      <c r="V532" s="168"/>
      <c r="W532" s="169">
        <f t="shared" si="132"/>
        <v>0</v>
      </c>
      <c r="X532" s="168">
        <f t="shared" si="133"/>
        <v>0</v>
      </c>
      <c r="Y532" s="168">
        <f t="shared" si="134"/>
        <v>0</v>
      </c>
      <c r="Z532" s="215">
        <f t="shared" si="135"/>
        <v>0</v>
      </c>
      <c r="AA532" s="169" t="b">
        <f t="shared" si="139"/>
        <v>0</v>
      </c>
      <c r="AB532" s="168" t="b">
        <f t="shared" si="140"/>
        <v>0</v>
      </c>
      <c r="AC532" s="168" t="b">
        <f t="shared" si="141"/>
        <v>0</v>
      </c>
      <c r="AD532" s="215" t="b">
        <f t="shared" si="142"/>
        <v>0</v>
      </c>
      <c r="AE532" s="349">
        <f ca="1">IF(AND(Elem!D40&lt;&gt;"",Elem!AO40=""),OFFSET(Spells!H$2,AA532,0),"")</f>
      </c>
      <c r="AF532" s="349">
        <f ca="1">IF(AND(Ill!D40&lt;&gt;"",Ill!AO40=""),OFFSET(Spells!R$2,AB532,0),"")</f>
      </c>
      <c r="AG532" s="349">
        <f ca="1">IF(AND(Neth!D40&lt;&gt;"",Neth!AO40=""),OFFSET(Spells!AB$2,AC532,0),"")</f>
      </c>
      <c r="AH532" s="319">
        <f ca="1">IF(AND(Wiz!D40&lt;&gt;"",Wiz!AO40=""),OFFSET(Spells!AL$2,AD532,0),"")</f>
      </c>
      <c r="AI532" s="170" t="str">
        <f t="shared" si="127"/>
        <v> </v>
      </c>
      <c r="AJ532" s="168">
        <f t="shared" si="128"/>
        <v>0</v>
      </c>
      <c r="AK532" s="168">
        <f ca="1" t="shared" si="143"/>
        <v>0</v>
      </c>
      <c r="AL532" s="168">
        <f t="shared" si="115"/>
        <v>0</v>
      </c>
      <c r="AM532" s="215"/>
      <c r="AN532" s="170" t="str">
        <f t="shared" si="129"/>
        <v>Disguise</v>
      </c>
      <c r="AO532" s="168">
        <f t="shared" si="130"/>
        <v>0</v>
      </c>
      <c r="AP532" s="168">
        <f ca="1" t="shared" si="96"/>
        <v>0</v>
      </c>
      <c r="AQ532" s="168" t="str">
        <f t="shared" si="131"/>
        <v>P</v>
      </c>
      <c r="AR532" s="168">
        <f t="shared" si="136"/>
        <v>0</v>
      </c>
      <c r="AS532" s="215"/>
      <c r="AY532" s="117"/>
      <c r="BQ532" s="211">
        <f t="shared" si="108"/>
        <v>34</v>
      </c>
      <c r="BR532" s="249" t="str">
        <f t="shared" si="144"/>
        <v>Gloves, Quiet fingers</v>
      </c>
      <c r="BS532" s="168">
        <f t="shared" si="145"/>
        <v>0</v>
      </c>
      <c r="BT532" s="168">
        <f t="shared" si="146"/>
        <v>140</v>
      </c>
      <c r="BU532" s="168" t="s">
        <v>2584</v>
      </c>
      <c r="BV532" s="249">
        <f t="shared" si="124"/>
        <v>7</v>
      </c>
      <c r="BW532" s="249" t="str">
        <f t="shared" si="125"/>
        <v>Quiet fingers Gloves</v>
      </c>
      <c r="BX532" s="249" t="str">
        <f t="shared" si="105"/>
        <v> </v>
      </c>
      <c r="BY532" s="168">
        <f t="shared" si="109"/>
        <v>0</v>
      </c>
      <c r="BZ532" s="215" t="b">
        <f t="shared" si="106"/>
        <v>0</v>
      </c>
    </row>
    <row r="533" spans="2:78" ht="12.75">
      <c r="B533" s="137">
        <v>14</v>
      </c>
      <c r="C533" s="112" t="str">
        <f t="shared" si="54"/>
        <v> </v>
      </c>
      <c r="D533" s="112" t="str">
        <f t="shared" si="84"/>
        <v> </v>
      </c>
      <c r="E533" s="122">
        <f t="shared" si="55"/>
        <v>0</v>
      </c>
      <c r="F533" s="134">
        <f ca="1" t="shared" si="137"/>
        <v>0</v>
      </c>
      <c r="G533" s="122">
        <f>IF(C533&lt;&gt;" ",MATCH(D533,Talents!B$3:B$278,1),0)</f>
        <v>0</v>
      </c>
      <c r="H533" s="122" t="str">
        <f ca="1">IF(G533=0," ",OFFSET(Talents!C$2,G533,0))</f>
        <v> </v>
      </c>
      <c r="I533" s="122" t="str">
        <f ca="1">IF(G533=0," ",OFFSET(Talents!D$2,G533,0))</f>
        <v> </v>
      </c>
      <c r="J533" s="122" t="str">
        <f t="shared" si="86"/>
        <v> </v>
      </c>
      <c r="K533" s="122">
        <f t="shared" si="56"/>
        <v>0</v>
      </c>
      <c r="L533" s="122" t="str">
        <f t="shared" si="138"/>
        <v> </v>
      </c>
      <c r="M533" s="122" t="str">
        <f ca="1" t="shared" si="87"/>
        <v>-</v>
      </c>
      <c r="N533" s="112" t="b">
        <f t="shared" si="58"/>
        <v>0</v>
      </c>
      <c r="O533" s="122" t="str">
        <f ca="1">IF(G533&gt;0,IF(N533,"D",OFFSET(Talents!E$2,G533,0))&amp;OFFSET(Talents!F$2,G533,0)," ")</f>
        <v> </v>
      </c>
      <c r="P533" s="122" t="b">
        <f t="shared" si="59"/>
        <v>0</v>
      </c>
      <c r="Q533" s="169">
        <f t="shared" si="147"/>
        <v>0</v>
      </c>
      <c r="R533" s="215"/>
      <c r="S533" s="106"/>
      <c r="T533" s="106"/>
      <c r="U533" s="169">
        <f t="shared" si="90"/>
        <v>0</v>
      </c>
      <c r="V533" s="168"/>
      <c r="W533" s="169">
        <f t="shared" si="132"/>
        <v>0</v>
      </c>
      <c r="X533" s="168">
        <f t="shared" si="133"/>
        <v>0</v>
      </c>
      <c r="Y533" s="168">
        <f t="shared" si="134"/>
        <v>0</v>
      </c>
      <c r="Z533" s="215">
        <f t="shared" si="135"/>
        <v>0</v>
      </c>
      <c r="AA533" s="169" t="b">
        <f t="shared" si="139"/>
        <v>0</v>
      </c>
      <c r="AB533" s="168" t="b">
        <f t="shared" si="140"/>
        <v>0</v>
      </c>
      <c r="AC533" s="168" t="b">
        <f t="shared" si="141"/>
        <v>0</v>
      </c>
      <c r="AD533" s="215" t="b">
        <f t="shared" si="142"/>
        <v>0</v>
      </c>
      <c r="AE533" s="349">
        <f ca="1">IF(AND(Elem!D41&lt;&gt;"",Elem!AO41=""),OFFSET(Spells!H$2,AA533,0),"")</f>
      </c>
      <c r="AF533" s="349">
        <f ca="1">IF(AND(Ill!D41&lt;&gt;"",Ill!AO41=""),OFFSET(Spells!R$2,AB533,0),"")</f>
      </c>
      <c r="AG533" s="349">
        <f ca="1">IF(AND(Neth!D41&lt;&gt;"",Neth!AO41=""),OFFSET(Spells!AB$2,AC533,0),"")</f>
      </c>
      <c r="AH533" s="319">
        <f ca="1">IF(AND(Wiz!D41&lt;&gt;"",Wiz!AO41=""),OFFSET(Spells!AL$2,AD533,0),"")</f>
      </c>
      <c r="AI533" s="170" t="str">
        <f t="shared" si="127"/>
        <v> </v>
      </c>
      <c r="AJ533" s="168">
        <f t="shared" si="128"/>
        <v>0</v>
      </c>
      <c r="AK533" s="168">
        <f ca="1" t="shared" si="143"/>
        <v>0</v>
      </c>
      <c r="AL533" s="168">
        <f t="shared" si="115"/>
        <v>0</v>
      </c>
      <c r="AM533" s="215"/>
      <c r="AN533" s="170" t="str">
        <f t="shared" si="129"/>
        <v>Etiquette</v>
      </c>
      <c r="AO533" s="168">
        <f t="shared" si="130"/>
        <v>0</v>
      </c>
      <c r="AP533" s="168">
        <f ca="1" t="shared" si="96"/>
        <v>0</v>
      </c>
      <c r="AQ533" s="168" t="str">
        <f t="shared" si="131"/>
        <v>C</v>
      </c>
      <c r="AR533" s="168">
        <f t="shared" si="136"/>
        <v>0</v>
      </c>
      <c r="AS533" s="215"/>
      <c r="AX533" s="117"/>
      <c r="BQ533" s="211">
        <f t="shared" si="108"/>
        <v>35</v>
      </c>
      <c r="BR533" s="249" t="str">
        <f t="shared" si="144"/>
        <v>Hat, Felt</v>
      </c>
      <c r="BS533" s="168">
        <f t="shared" si="145"/>
        <v>0</v>
      </c>
      <c r="BT533" s="168">
        <f t="shared" si="146"/>
        <v>0.4</v>
      </c>
      <c r="BU533" s="168" t="s">
        <v>2584</v>
      </c>
      <c r="BV533" s="249">
        <f t="shared" si="124"/>
        <v>4</v>
      </c>
      <c r="BW533" s="249" t="str">
        <f t="shared" si="125"/>
        <v>Felt Hat</v>
      </c>
      <c r="BX533" s="249" t="str">
        <f t="shared" si="105"/>
        <v> </v>
      </c>
      <c r="BY533" s="168">
        <f t="shared" si="109"/>
        <v>0</v>
      </c>
      <c r="BZ533" s="215" t="b">
        <f t="shared" si="106"/>
        <v>0</v>
      </c>
    </row>
    <row r="534" spans="2:78" ht="12.75">
      <c r="B534" s="137">
        <v>15</v>
      </c>
      <c r="C534" s="112" t="str">
        <f t="shared" si="54"/>
        <v> </v>
      </c>
      <c r="D534" s="112" t="str">
        <f t="shared" si="84"/>
        <v> </v>
      </c>
      <c r="E534" s="122">
        <f t="shared" si="55"/>
        <v>0</v>
      </c>
      <c r="F534" s="134">
        <f ca="1" t="shared" si="137"/>
        <v>0</v>
      </c>
      <c r="G534" s="122">
        <f>IF(C534&lt;&gt;" ",MATCH(D534,Talents!B$3:B$278,1),0)</f>
        <v>0</v>
      </c>
      <c r="H534" s="122" t="str">
        <f ca="1">IF(G534=0," ",OFFSET(Talents!C$2,G534,0))</f>
        <v> </v>
      </c>
      <c r="I534" s="122" t="str">
        <f ca="1">IF(G534=0," ",OFFSET(Talents!D$2,G534,0))</f>
        <v> </v>
      </c>
      <c r="J534" s="122" t="str">
        <f t="shared" si="86"/>
        <v> </v>
      </c>
      <c r="K534" s="122">
        <f t="shared" si="56"/>
        <v>0</v>
      </c>
      <c r="L534" s="122" t="str">
        <f t="shared" si="138"/>
        <v> </v>
      </c>
      <c r="M534" s="122" t="str">
        <f ca="1" t="shared" si="87"/>
        <v>-</v>
      </c>
      <c r="N534" s="112" t="b">
        <f t="shared" si="58"/>
        <v>0</v>
      </c>
      <c r="O534" s="122" t="str">
        <f ca="1">IF(G534&gt;0,IF(N534,"D",OFFSET(Talents!E$2,G534,0))&amp;OFFSET(Talents!F$2,G534,0)," ")</f>
        <v> </v>
      </c>
      <c r="P534" s="122" t="b">
        <f t="shared" si="59"/>
        <v>0</v>
      </c>
      <c r="Q534" s="169">
        <f t="shared" si="147"/>
        <v>0</v>
      </c>
      <c r="R534" s="215"/>
      <c r="S534" s="106"/>
      <c r="T534" s="106"/>
      <c r="U534" s="169">
        <f t="shared" si="90"/>
        <v>0</v>
      </c>
      <c r="V534" s="168"/>
      <c r="W534" s="169">
        <f t="shared" si="132"/>
        <v>0</v>
      </c>
      <c r="X534" s="168">
        <f t="shared" si="133"/>
        <v>0</v>
      </c>
      <c r="Y534" s="168">
        <f t="shared" si="134"/>
        <v>0</v>
      </c>
      <c r="Z534" s="215">
        <f t="shared" si="135"/>
        <v>0</v>
      </c>
      <c r="AA534" s="169" t="b">
        <f t="shared" si="139"/>
        <v>0</v>
      </c>
      <c r="AB534" s="168" t="b">
        <f t="shared" si="140"/>
        <v>0</v>
      </c>
      <c r="AC534" s="168" t="b">
        <f t="shared" si="141"/>
        <v>0</v>
      </c>
      <c r="AD534" s="215" t="b">
        <f t="shared" si="142"/>
        <v>0</v>
      </c>
      <c r="AE534" s="350">
        <f ca="1">IF(AND(Elem!D42&lt;&gt;"",Elem!AO42=""),OFFSET(Spells!H$2,AA534,0),"")</f>
      </c>
      <c r="AF534" s="350">
        <f ca="1">IF(AND(Ill!D42&lt;&gt;"",Ill!AO42=""),OFFSET(Spells!R$2,AB534,0),"")</f>
      </c>
      <c r="AG534" s="350">
        <f ca="1">IF(AND(Neth!D42&lt;&gt;"",Neth!AO42=""),OFFSET(Spells!AB$2,AC534,0),"")</f>
      </c>
      <c r="AH534" s="115">
        <f ca="1">IF(AND(Wiz!D42&lt;&gt;"",Wiz!AO42=""),OFFSET(Spells!AL$2,AD534,0),"")</f>
      </c>
      <c r="AI534" s="170" t="str">
        <f t="shared" si="127"/>
        <v> </v>
      </c>
      <c r="AJ534" s="168">
        <f t="shared" si="128"/>
        <v>0</v>
      </c>
      <c r="AK534" s="168">
        <f ca="1" t="shared" si="143"/>
        <v>0</v>
      </c>
      <c r="AL534" s="168">
        <f t="shared" si="115"/>
        <v>0</v>
      </c>
      <c r="AM534" s="215"/>
      <c r="AN534" s="170" t="str">
        <f t="shared" si="129"/>
        <v>Fishing</v>
      </c>
      <c r="AO534" s="168">
        <f t="shared" si="130"/>
        <v>0</v>
      </c>
      <c r="AP534" s="168">
        <f ca="1" t="shared" si="96"/>
        <v>0</v>
      </c>
      <c r="AQ534" s="168" t="str">
        <f t="shared" si="131"/>
        <v>P</v>
      </c>
      <c r="AR534" s="168">
        <f t="shared" si="136"/>
        <v>0</v>
      </c>
      <c r="AS534" s="215"/>
      <c r="AX534" s="117"/>
      <c r="BQ534" s="211">
        <f t="shared" si="108"/>
        <v>36</v>
      </c>
      <c r="BR534" s="249" t="str">
        <f t="shared" si="144"/>
        <v>Hat, Woolen cap</v>
      </c>
      <c r="BS534" s="168">
        <f t="shared" si="145"/>
        <v>0</v>
      </c>
      <c r="BT534" s="168">
        <f t="shared" si="146"/>
        <v>1.2</v>
      </c>
      <c r="BU534" s="168" t="s">
        <v>2584</v>
      </c>
      <c r="BV534" s="249">
        <f t="shared" si="124"/>
        <v>4</v>
      </c>
      <c r="BW534" s="249" t="str">
        <f t="shared" si="125"/>
        <v>Woolen cap Hat</v>
      </c>
      <c r="BX534" s="249" t="str">
        <f t="shared" si="105"/>
        <v> </v>
      </c>
      <c r="BY534" s="168">
        <f t="shared" si="109"/>
        <v>0</v>
      </c>
      <c r="BZ534" s="215" t="b">
        <f t="shared" si="106"/>
        <v>0</v>
      </c>
    </row>
    <row r="535" spans="2:78" ht="12.75">
      <c r="B535" s="137">
        <v>15</v>
      </c>
      <c r="C535" s="112" t="str">
        <f t="shared" si="54"/>
        <v> </v>
      </c>
      <c r="D535" s="112" t="str">
        <f t="shared" si="84"/>
        <v> </v>
      </c>
      <c r="E535" s="122">
        <f t="shared" si="55"/>
        <v>0</v>
      </c>
      <c r="F535" s="134">
        <f ca="1" t="shared" si="137"/>
        <v>0</v>
      </c>
      <c r="G535" s="122">
        <f>IF(C535&lt;&gt;" ",MATCH(D535,Talents!B$3:B$278,1),0)</f>
        <v>0</v>
      </c>
      <c r="H535" s="122" t="str">
        <f ca="1">IF(G535=0," ",OFFSET(Talents!C$2,G535,0))</f>
        <v> </v>
      </c>
      <c r="I535" s="122" t="str">
        <f ca="1">IF(G535=0," ",OFFSET(Talents!D$2,G535,0))</f>
        <v> </v>
      </c>
      <c r="J535" s="122" t="str">
        <f t="shared" si="86"/>
        <v> </v>
      </c>
      <c r="K535" s="122">
        <f t="shared" si="56"/>
        <v>0</v>
      </c>
      <c r="L535" s="122" t="str">
        <f t="shared" si="138"/>
        <v> </v>
      </c>
      <c r="M535" s="122" t="str">
        <f ca="1" t="shared" si="87"/>
        <v>-</v>
      </c>
      <c r="N535" s="112" t="b">
        <f t="shared" si="58"/>
        <v>0</v>
      </c>
      <c r="O535" s="122" t="str">
        <f ca="1">IF(G535&gt;0,IF(N535,"D",OFFSET(Talents!E$2,G535,0))&amp;OFFSET(Talents!F$2,G535,0)," ")</f>
        <v> </v>
      </c>
      <c r="P535" s="122" t="b">
        <f t="shared" si="59"/>
        <v>0</v>
      </c>
      <c r="Q535" s="169">
        <f t="shared" si="147"/>
        <v>0</v>
      </c>
      <c r="R535" s="215"/>
      <c r="S535" s="106"/>
      <c r="T535" s="106"/>
      <c r="U535" s="169">
        <f t="shared" si="90"/>
        <v>0</v>
      </c>
      <c r="V535" s="168"/>
      <c r="W535" s="169">
        <f t="shared" si="132"/>
        <v>0</v>
      </c>
      <c r="X535" s="168">
        <f t="shared" si="133"/>
        <v>0</v>
      </c>
      <c r="Y535" s="168">
        <f t="shared" si="134"/>
        <v>0</v>
      </c>
      <c r="Z535" s="215">
        <f t="shared" si="135"/>
        <v>0</v>
      </c>
      <c r="AA535" s="169" t="b">
        <f t="shared" si="139"/>
        <v>0</v>
      </c>
      <c r="AB535" s="168" t="b">
        <f t="shared" si="140"/>
        <v>0</v>
      </c>
      <c r="AC535" s="168" t="b">
        <f t="shared" si="141"/>
        <v>0</v>
      </c>
      <c r="AD535" s="215" t="b">
        <f t="shared" si="142"/>
        <v>0</v>
      </c>
      <c r="AI535" s="170" t="str">
        <f t="shared" si="127"/>
        <v> </v>
      </c>
      <c r="AJ535" s="168">
        <f t="shared" si="128"/>
        <v>0</v>
      </c>
      <c r="AK535" s="168">
        <f ca="1" t="shared" si="143"/>
        <v>0</v>
      </c>
      <c r="AL535" s="168">
        <f t="shared" si="115"/>
        <v>0</v>
      </c>
      <c r="AM535" s="215"/>
      <c r="AN535" s="170" t="str">
        <f t="shared" si="129"/>
        <v>Flirting</v>
      </c>
      <c r="AO535" s="168">
        <f t="shared" si="130"/>
        <v>0</v>
      </c>
      <c r="AP535" s="168">
        <f ca="1" t="shared" si="96"/>
        <v>0</v>
      </c>
      <c r="AQ535" s="168" t="str">
        <f t="shared" si="131"/>
        <v>C</v>
      </c>
      <c r="AR535" s="168">
        <f t="shared" si="136"/>
        <v>0</v>
      </c>
      <c r="AS535" s="215"/>
      <c r="AX535" s="117"/>
      <c r="BQ535" s="211">
        <f t="shared" si="108"/>
        <v>37</v>
      </c>
      <c r="BR535" s="249" t="str">
        <f t="shared" si="144"/>
        <v>Hat, One-size</v>
      </c>
      <c r="BS535" s="168">
        <f t="shared" si="145"/>
        <v>0</v>
      </c>
      <c r="BT535" s="168">
        <f t="shared" si="146"/>
        <v>35</v>
      </c>
      <c r="BU535" s="168" t="s">
        <v>2584</v>
      </c>
      <c r="BV535" s="249">
        <f t="shared" si="124"/>
        <v>4</v>
      </c>
      <c r="BW535" s="249" t="str">
        <f t="shared" si="125"/>
        <v>One-size Hat</v>
      </c>
      <c r="BX535" s="249" t="str">
        <f t="shared" si="105"/>
        <v> </v>
      </c>
      <c r="BY535" s="168">
        <f t="shared" si="109"/>
        <v>0</v>
      </c>
      <c r="BZ535" s="215" t="b">
        <f t="shared" si="106"/>
        <v>0</v>
      </c>
    </row>
    <row r="536" spans="2:78" ht="12.75">
      <c r="B536" s="137">
        <v>1</v>
      </c>
      <c r="C536" s="112" t="str">
        <f aca="true" t="shared" si="148" ref="C536:C572">IF(AND(Dicipline2&lt;&gt;"",Circle2&gt;=$B536),HLOOKUP(Dicipline2,talentfordisc,1+BQ499,FALSE)," ")</f>
        <v> </v>
      </c>
      <c r="D536" s="112" t="str">
        <f>IF(RIGHT(C536,3)="(D)",LEFT(C536,LEN(C536)-4),C536)</f>
        <v> </v>
      </c>
      <c r="E536" s="122">
        <f aca="true" t="shared" si="149" ref="E536:E572">W33</f>
        <v>0</v>
      </c>
      <c r="F536" s="134">
        <f ca="1">OFFSET(Cost_1_4,E536,0)</f>
        <v>0</v>
      </c>
      <c r="G536" s="122">
        <f>IF(C536&lt;&gt;" ",MATCH(D536,Talents!B$3:B$278,1),0)</f>
        <v>0</v>
      </c>
      <c r="H536" s="122" t="str">
        <f ca="1">IF(G536=0," ",OFFSET(Talents!C$2,G536,0))</f>
        <v> </v>
      </c>
      <c r="I536" s="122" t="str">
        <f ca="1">IF(G536=0," ",OFFSET(Talents!D$2,G536,0))</f>
        <v> </v>
      </c>
      <c r="J536" s="122" t="str">
        <f>IF(G536&gt;0,H536&amp;IF(I536&gt;0,"+"&amp;I536,"")," ")</f>
        <v> </v>
      </c>
      <c r="K536" s="122">
        <f aca="true" t="shared" si="150" ref="K536:K572">IF(E536&gt;0,X33,0)</f>
        <v>0</v>
      </c>
      <c r="L536" s="122" t="str">
        <f t="shared" si="138"/>
        <v> </v>
      </c>
      <c r="M536" s="122" t="str">
        <f ca="1" t="shared" si="87"/>
        <v>-</v>
      </c>
      <c r="N536" s="112" t="b">
        <f aca="true" t="shared" si="151" ref="N536:N572">OR(RIGHT(C536,3)="(D)",NOT(ISERROR(MATCH(D536&amp;" (D)",C$499:C$535,0))))</f>
        <v>0</v>
      </c>
      <c r="O536" s="122" t="str">
        <f ca="1">IF(G536&gt;0,IF(N536,"D",OFFSET(Talents!E$2,G536,0))&amp;OFFSET(Talents!F$2,G536,0)," ")</f>
        <v> </v>
      </c>
      <c r="P536" s="122" t="b">
        <f aca="true" t="shared" si="152" ref="P536:P572">AND(Z33="",C536&lt;&gt;" ")</f>
        <v>0</v>
      </c>
      <c r="Q536" s="169">
        <f t="shared" si="147"/>
        <v>0</v>
      </c>
      <c r="R536" s="215"/>
      <c r="S536" s="106"/>
      <c r="T536" s="106"/>
      <c r="U536" s="169">
        <f t="shared" si="90"/>
        <v>0</v>
      </c>
      <c r="V536" s="168"/>
      <c r="W536" s="169">
        <f t="shared" si="132"/>
        <v>0</v>
      </c>
      <c r="X536" s="168">
        <f t="shared" si="133"/>
        <v>0</v>
      </c>
      <c r="Y536" s="168">
        <f t="shared" si="134"/>
        <v>0</v>
      </c>
      <c r="Z536" s="215">
        <f t="shared" si="135"/>
        <v>0</v>
      </c>
      <c r="AA536" s="169" t="b">
        <f t="shared" si="139"/>
        <v>0</v>
      </c>
      <c r="AB536" s="168" t="b">
        <f t="shared" si="140"/>
        <v>0</v>
      </c>
      <c r="AC536" s="168" t="b">
        <f t="shared" si="141"/>
        <v>0</v>
      </c>
      <c r="AD536" s="215" t="b">
        <f t="shared" si="142"/>
        <v>0</v>
      </c>
      <c r="AI536" s="170" t="str">
        <f t="shared" si="127"/>
        <v> </v>
      </c>
      <c r="AJ536" s="168">
        <f t="shared" si="128"/>
        <v>0</v>
      </c>
      <c r="AK536" s="168">
        <f ca="1" t="shared" si="143"/>
        <v>0</v>
      </c>
      <c r="AL536" s="168">
        <f t="shared" si="115"/>
        <v>0</v>
      </c>
      <c r="AM536" s="215"/>
      <c r="AN536" s="170" t="str">
        <f t="shared" si="129"/>
        <v>Forgery</v>
      </c>
      <c r="AO536" s="168">
        <f t="shared" si="130"/>
        <v>0</v>
      </c>
      <c r="AP536" s="168">
        <f ca="1" t="shared" si="96"/>
        <v>0</v>
      </c>
      <c r="AQ536" s="168" t="str">
        <f t="shared" si="131"/>
        <v>D</v>
      </c>
      <c r="AR536" s="168">
        <f t="shared" si="136"/>
        <v>0</v>
      </c>
      <c r="AS536" s="215"/>
      <c r="AX536" s="117"/>
      <c r="BQ536" s="211">
        <f t="shared" si="108"/>
        <v>38</v>
      </c>
      <c r="BR536" s="249" t="str">
        <f t="shared" si="144"/>
        <v>Hat, Fine Quality</v>
      </c>
      <c r="BS536" s="168">
        <f t="shared" si="145"/>
        <v>0</v>
      </c>
      <c r="BT536" s="168">
        <f t="shared" si="146"/>
        <v>9</v>
      </c>
      <c r="BU536" s="168" t="s">
        <v>2584</v>
      </c>
      <c r="BV536" s="249">
        <f t="shared" si="124"/>
        <v>4</v>
      </c>
      <c r="BW536" s="249" t="str">
        <f t="shared" si="125"/>
        <v>Fine Quality Hat</v>
      </c>
      <c r="BX536" s="249" t="str">
        <f t="shared" si="105"/>
        <v> </v>
      </c>
      <c r="BY536" s="168">
        <f t="shared" si="109"/>
        <v>0</v>
      </c>
      <c r="BZ536" s="215" t="b">
        <f t="shared" si="106"/>
        <v>0</v>
      </c>
    </row>
    <row r="537" spans="2:78" ht="12.75">
      <c r="B537" s="137">
        <v>1</v>
      </c>
      <c r="C537" s="112" t="str">
        <f t="shared" si="148"/>
        <v> </v>
      </c>
      <c r="D537" s="112" t="str">
        <f aca="true" t="shared" si="153" ref="D537:D572">IF(RIGHT(C537,3)="(D)",LEFT(C537,LEN(C537)-4),C537)</f>
        <v> </v>
      </c>
      <c r="E537" s="122">
        <f t="shared" si="149"/>
        <v>0</v>
      </c>
      <c r="F537" s="134">
        <f aca="true" ca="1" t="shared" si="154" ref="F537:F549">OFFSET(Cost_1_4,E537,0)</f>
        <v>0</v>
      </c>
      <c r="G537" s="122">
        <f>IF(C537&lt;&gt;" ",MATCH(D537,Talents!B$3:B$278,1),0)</f>
        <v>0</v>
      </c>
      <c r="H537" s="122" t="str">
        <f ca="1">IF(G537=0," ",OFFSET(Talents!C$2,G537,0))</f>
        <v> </v>
      </c>
      <c r="I537" s="122" t="str">
        <f ca="1">IF(G537=0," ",OFFSET(Talents!D$2,G537,0))</f>
        <v> </v>
      </c>
      <c r="J537" s="122" t="str">
        <f aca="true" t="shared" si="155" ref="J537:J572">IF(G537&gt;0,H537&amp;IF(I537&gt;0,"+"&amp;I537,"")," ")</f>
        <v> </v>
      </c>
      <c r="K537" s="122">
        <f t="shared" si="150"/>
        <v>0</v>
      </c>
      <c r="L537" s="122" t="str">
        <f t="shared" si="138"/>
        <v> </v>
      </c>
      <c r="M537" s="122" t="str">
        <f ca="1" t="shared" si="87"/>
        <v>-</v>
      </c>
      <c r="N537" s="112" t="b">
        <f t="shared" si="151"/>
        <v>0</v>
      </c>
      <c r="O537" s="122" t="str">
        <f ca="1">IF(G537&gt;0,IF(N537,"D",OFFSET(Talents!E$2,G537,0))&amp;OFFSET(Talents!F$2,G537,0)," ")</f>
        <v> </v>
      </c>
      <c r="P537" s="122" t="b">
        <f t="shared" si="152"/>
        <v>0</v>
      </c>
      <c r="Q537" s="169">
        <f t="shared" si="147"/>
        <v>0</v>
      </c>
      <c r="R537" s="215"/>
      <c r="S537" s="106"/>
      <c r="T537" s="106"/>
      <c r="U537" s="169">
        <f t="shared" si="90"/>
        <v>0</v>
      </c>
      <c r="V537" s="168"/>
      <c r="W537" s="169">
        <f t="shared" si="132"/>
        <v>0</v>
      </c>
      <c r="X537" s="168">
        <f t="shared" si="133"/>
        <v>0</v>
      </c>
      <c r="Y537" s="168">
        <f t="shared" si="134"/>
        <v>0</v>
      </c>
      <c r="Z537" s="215">
        <f t="shared" si="135"/>
        <v>0</v>
      </c>
      <c r="AA537" s="169" t="b">
        <f t="shared" si="139"/>
        <v>0</v>
      </c>
      <c r="AB537" s="168" t="b">
        <f t="shared" si="140"/>
        <v>0</v>
      </c>
      <c r="AC537" s="168" t="b">
        <f t="shared" si="141"/>
        <v>0</v>
      </c>
      <c r="AD537" s="215" t="b">
        <f t="shared" si="142"/>
        <v>0</v>
      </c>
      <c r="AI537" s="170" t="str">
        <f t="shared" si="127"/>
        <v> </v>
      </c>
      <c r="AJ537" s="168">
        <f t="shared" si="128"/>
        <v>0</v>
      </c>
      <c r="AK537" s="168">
        <f ca="1" t="shared" si="143"/>
        <v>0</v>
      </c>
      <c r="AL537" s="168">
        <f t="shared" si="115"/>
        <v>0</v>
      </c>
      <c r="AM537" s="215"/>
      <c r="AN537" s="170" t="str">
        <f t="shared" si="129"/>
        <v>Gliding (k'stulaami only)</v>
      </c>
      <c r="AO537" s="168">
        <f t="shared" si="130"/>
        <v>0</v>
      </c>
      <c r="AP537" s="168">
        <f ca="1" t="shared" si="96"/>
        <v>0</v>
      </c>
      <c r="AQ537" s="168" t="str">
        <f t="shared" si="131"/>
        <v>D</v>
      </c>
      <c r="AR537" s="168">
        <f t="shared" si="136"/>
        <v>0</v>
      </c>
      <c r="AS537" s="215"/>
      <c r="AX537" s="117"/>
      <c r="BQ537" s="211">
        <f t="shared" si="108"/>
        <v>39</v>
      </c>
      <c r="BR537" s="249" t="str">
        <f t="shared" si="144"/>
        <v>Hat, Courtier Quality</v>
      </c>
      <c r="BS537" s="168">
        <f t="shared" si="145"/>
        <v>0</v>
      </c>
      <c r="BT537" s="168">
        <f t="shared" si="146"/>
        <v>18</v>
      </c>
      <c r="BU537" s="168" t="s">
        <v>2584</v>
      </c>
      <c r="BV537" s="249">
        <f t="shared" si="124"/>
        <v>4</v>
      </c>
      <c r="BW537" s="249" t="str">
        <f t="shared" si="125"/>
        <v>Courtier Quality Hat</v>
      </c>
      <c r="BX537" s="249" t="str">
        <f t="shared" si="105"/>
        <v> </v>
      </c>
      <c r="BY537" s="168">
        <f t="shared" si="109"/>
        <v>0</v>
      </c>
      <c r="BZ537" s="215" t="b">
        <f t="shared" si="106"/>
        <v>0</v>
      </c>
    </row>
    <row r="538" spans="2:78" ht="12.75">
      <c r="B538" s="137">
        <v>1</v>
      </c>
      <c r="C538" s="112" t="str">
        <f t="shared" si="148"/>
        <v> </v>
      </c>
      <c r="D538" s="112" t="str">
        <f t="shared" si="153"/>
        <v> </v>
      </c>
      <c r="E538" s="122">
        <f t="shared" si="149"/>
        <v>0</v>
      </c>
      <c r="F538" s="134">
        <f ca="1" t="shared" si="154"/>
        <v>0</v>
      </c>
      <c r="G538" s="122">
        <f>IF(C538&lt;&gt;" ",MATCH(D538,Talents!B$3:B$278,1),0)</f>
        <v>0</v>
      </c>
      <c r="H538" s="122" t="str">
        <f ca="1">IF(G538=0," ",OFFSET(Talents!C$2,G538,0))</f>
        <v> </v>
      </c>
      <c r="I538" s="122" t="str">
        <f ca="1">IF(G538=0," ",OFFSET(Talents!D$2,G538,0))</f>
        <v> </v>
      </c>
      <c r="J538" s="122" t="str">
        <f t="shared" si="155"/>
        <v> </v>
      </c>
      <c r="K538" s="122">
        <f t="shared" si="150"/>
        <v>0</v>
      </c>
      <c r="L538" s="122" t="str">
        <f t="shared" si="138"/>
        <v> </v>
      </c>
      <c r="M538" s="122" t="str">
        <f ca="1" t="shared" si="87"/>
        <v>-</v>
      </c>
      <c r="N538" s="112" t="b">
        <f t="shared" si="151"/>
        <v>0</v>
      </c>
      <c r="O538" s="122" t="str">
        <f ca="1">IF(G538&gt;0,IF(N538,"D",OFFSET(Talents!E$2,G538,0))&amp;OFFSET(Talents!F$2,G538,0)," ")</f>
        <v> </v>
      </c>
      <c r="P538" s="122" t="b">
        <f t="shared" si="152"/>
        <v>0</v>
      </c>
      <c r="Q538" s="169">
        <f t="shared" si="147"/>
        <v>0</v>
      </c>
      <c r="R538" s="215"/>
      <c r="S538" s="106"/>
      <c r="T538" s="106"/>
      <c r="U538" s="169">
        <f t="shared" si="90"/>
        <v>0</v>
      </c>
      <c r="V538" s="168"/>
      <c r="W538" s="169">
        <f t="shared" si="132"/>
        <v>0</v>
      </c>
      <c r="X538" s="168">
        <f t="shared" si="133"/>
        <v>0</v>
      </c>
      <c r="Y538" s="168">
        <f t="shared" si="134"/>
        <v>0</v>
      </c>
      <c r="Z538" s="215">
        <f t="shared" si="135"/>
        <v>0</v>
      </c>
      <c r="AA538" s="169" t="b">
        <f t="shared" si="139"/>
        <v>0</v>
      </c>
      <c r="AB538" s="168" t="b">
        <f t="shared" si="140"/>
        <v>0</v>
      </c>
      <c r="AC538" s="168" t="b">
        <f t="shared" si="141"/>
        <v>0</v>
      </c>
      <c r="AD538" s="215" t="b">
        <f t="shared" si="142"/>
        <v>0</v>
      </c>
      <c r="AI538" s="170" t="str">
        <f t="shared" si="127"/>
        <v> </v>
      </c>
      <c r="AJ538" s="168">
        <f t="shared" si="128"/>
        <v>0</v>
      </c>
      <c r="AK538" s="168">
        <f ca="1" t="shared" si="143"/>
        <v>0</v>
      </c>
      <c r="AL538" s="168">
        <f t="shared" si="115"/>
        <v>0</v>
      </c>
      <c r="AM538" s="215"/>
      <c r="AN538" s="170" t="str">
        <f t="shared" si="129"/>
        <v>Hunting</v>
      </c>
      <c r="AO538" s="168">
        <f t="shared" si="130"/>
        <v>0</v>
      </c>
      <c r="AP538" s="168">
        <f ca="1" t="shared" si="96"/>
        <v>0</v>
      </c>
      <c r="AQ538" s="168" t="str">
        <f t="shared" si="131"/>
        <v>D</v>
      </c>
      <c r="AR538" s="168">
        <f t="shared" si="136"/>
        <v>0</v>
      </c>
      <c r="AS538" s="215"/>
      <c r="AX538" s="117"/>
      <c r="BQ538" s="211">
        <f t="shared" si="108"/>
        <v>40</v>
      </c>
      <c r="BR538" s="249" t="str">
        <f t="shared" si="144"/>
        <v>Hooded mask</v>
      </c>
      <c r="BS538" s="168">
        <f t="shared" si="145"/>
        <v>0</v>
      </c>
      <c r="BT538" s="168">
        <f t="shared" si="146"/>
        <v>3</v>
      </c>
      <c r="BU538" s="168" t="s">
        <v>2584</v>
      </c>
      <c r="BV538" s="249" t="e">
        <f t="shared" si="124"/>
        <v>#VALUE!</v>
      </c>
      <c r="BW538" s="249" t="str">
        <f t="shared" si="125"/>
        <v>Hooded mask</v>
      </c>
      <c r="BX538" s="249" t="str">
        <f t="shared" si="105"/>
        <v> </v>
      </c>
      <c r="BY538" s="168">
        <f t="shared" si="109"/>
        <v>0</v>
      </c>
      <c r="BZ538" s="215" t="b">
        <f t="shared" si="106"/>
        <v>0</v>
      </c>
    </row>
    <row r="539" spans="2:78" ht="12.75">
      <c r="B539" s="137">
        <v>1</v>
      </c>
      <c r="C539" s="112" t="str">
        <f t="shared" si="148"/>
        <v> </v>
      </c>
      <c r="D539" s="112" t="str">
        <f t="shared" si="153"/>
        <v> </v>
      </c>
      <c r="E539" s="122">
        <f t="shared" si="149"/>
        <v>0</v>
      </c>
      <c r="F539" s="134">
        <f ca="1" t="shared" si="154"/>
        <v>0</v>
      </c>
      <c r="G539" s="122">
        <f>IF(C539&lt;&gt;" ",MATCH(D539,Talents!B$3:B$278,1),0)</f>
        <v>0</v>
      </c>
      <c r="H539" s="122" t="str">
        <f ca="1">IF(G539=0," ",OFFSET(Talents!C$2,G539,0))</f>
        <v> </v>
      </c>
      <c r="I539" s="122" t="str">
        <f ca="1">IF(G539=0," ",OFFSET(Talents!D$2,G539,0))</f>
        <v> </v>
      </c>
      <c r="J539" s="122" t="str">
        <f t="shared" si="155"/>
        <v> </v>
      </c>
      <c r="K539" s="122">
        <f t="shared" si="150"/>
        <v>0</v>
      </c>
      <c r="L539" s="122" t="str">
        <f t="shared" si="138"/>
        <v> </v>
      </c>
      <c r="M539" s="122" t="str">
        <f ca="1" t="shared" si="87"/>
        <v>-</v>
      </c>
      <c r="N539" s="112" t="b">
        <f t="shared" si="151"/>
        <v>0</v>
      </c>
      <c r="O539" s="122" t="str">
        <f ca="1">IF(G539&gt;0,IF(N539,"D",OFFSET(Talents!E$2,G539,0))&amp;OFFSET(Talents!F$2,G539,0)," ")</f>
        <v> </v>
      </c>
      <c r="P539" s="122" t="b">
        <f t="shared" si="152"/>
        <v>0</v>
      </c>
      <c r="Q539" s="169">
        <f t="shared" si="147"/>
        <v>0</v>
      </c>
      <c r="R539" s="215"/>
      <c r="S539" s="106"/>
      <c r="T539" s="106"/>
      <c r="U539" s="169">
        <f t="shared" si="90"/>
        <v>0</v>
      </c>
      <c r="V539" s="168"/>
      <c r="W539" s="169">
        <f t="shared" si="132"/>
        <v>0</v>
      </c>
      <c r="X539" s="168">
        <f t="shared" si="133"/>
        <v>0</v>
      </c>
      <c r="Y539" s="168">
        <f t="shared" si="134"/>
        <v>0</v>
      </c>
      <c r="Z539" s="215">
        <f t="shared" si="135"/>
        <v>0</v>
      </c>
      <c r="AA539" s="169" t="b">
        <f t="shared" si="139"/>
        <v>0</v>
      </c>
      <c r="AB539" s="168" t="b">
        <f t="shared" si="140"/>
        <v>0</v>
      </c>
      <c r="AC539" s="168" t="b">
        <f t="shared" si="141"/>
        <v>0</v>
      </c>
      <c r="AD539" s="215" t="b">
        <f t="shared" si="142"/>
        <v>0</v>
      </c>
      <c r="AI539" s="170" t="str">
        <f t="shared" si="127"/>
        <v> </v>
      </c>
      <c r="AJ539" s="168">
        <f t="shared" si="128"/>
        <v>0</v>
      </c>
      <c r="AK539" s="168">
        <f ca="1" t="shared" si="143"/>
        <v>0</v>
      </c>
      <c r="AL539" s="168">
        <f t="shared" si="115"/>
        <v>0</v>
      </c>
      <c r="AM539" s="215"/>
      <c r="AN539" s="170" t="str">
        <f t="shared" si="129"/>
        <v>Lock Picking</v>
      </c>
      <c r="AO539" s="168">
        <f t="shared" si="130"/>
        <v>0</v>
      </c>
      <c r="AP539" s="168">
        <f ca="1" t="shared" si="96"/>
        <v>0</v>
      </c>
      <c r="AQ539" s="168" t="str">
        <f t="shared" si="131"/>
        <v>D</v>
      </c>
      <c r="AR539" s="168">
        <f t="shared" si="136"/>
        <v>0</v>
      </c>
      <c r="AS539" s="215"/>
      <c r="AX539" s="117"/>
      <c r="BQ539" s="211">
        <f t="shared" si="108"/>
        <v>41</v>
      </c>
      <c r="BR539" s="249" t="str">
        <f t="shared" si="144"/>
        <v>Hosiery, Plain</v>
      </c>
      <c r="BS539" s="168">
        <f t="shared" si="145"/>
        <v>0</v>
      </c>
      <c r="BT539" s="168">
        <f t="shared" si="146"/>
        <v>0.5</v>
      </c>
      <c r="BU539" s="168" t="s">
        <v>2584</v>
      </c>
      <c r="BV539" s="249">
        <f t="shared" si="124"/>
        <v>8</v>
      </c>
      <c r="BW539" s="249" t="str">
        <f t="shared" si="125"/>
        <v>Plain Hosiery</v>
      </c>
      <c r="BX539" s="249" t="str">
        <f t="shared" si="105"/>
        <v> </v>
      </c>
      <c r="BY539" s="168">
        <f t="shared" si="109"/>
        <v>0</v>
      </c>
      <c r="BZ539" s="171"/>
    </row>
    <row r="540" spans="2:78" ht="12.75">
      <c r="B540" s="137">
        <v>1</v>
      </c>
      <c r="C540" s="112" t="str">
        <f t="shared" si="148"/>
        <v> </v>
      </c>
      <c r="D540" s="112" t="str">
        <f t="shared" si="153"/>
        <v> </v>
      </c>
      <c r="E540" s="122">
        <f t="shared" si="149"/>
        <v>0</v>
      </c>
      <c r="F540" s="134">
        <f ca="1" t="shared" si="154"/>
        <v>0</v>
      </c>
      <c r="G540" s="122">
        <f>IF(C540&lt;&gt;" ",MATCH(D540,Talents!B$3:B$278,1),0)</f>
        <v>0</v>
      </c>
      <c r="H540" s="122" t="str">
        <f ca="1">IF(G540=0," ",OFFSET(Talents!C$2,G540,0))</f>
        <v> </v>
      </c>
      <c r="I540" s="122" t="str">
        <f ca="1">IF(G540=0," ",OFFSET(Talents!D$2,G540,0))</f>
        <v> </v>
      </c>
      <c r="J540" s="122" t="str">
        <f t="shared" si="155"/>
        <v> </v>
      </c>
      <c r="K540" s="122">
        <f t="shared" si="150"/>
        <v>0</v>
      </c>
      <c r="L540" s="122" t="str">
        <f t="shared" si="138"/>
        <v> </v>
      </c>
      <c r="M540" s="122" t="str">
        <f ca="1" t="shared" si="87"/>
        <v>-</v>
      </c>
      <c r="N540" s="112" t="b">
        <f t="shared" si="151"/>
        <v>0</v>
      </c>
      <c r="O540" s="122" t="str">
        <f ca="1">IF(G540&gt;0,IF(N540,"D",OFFSET(Talents!E$2,G540,0))&amp;OFFSET(Talents!F$2,G540,0)," ")</f>
        <v> </v>
      </c>
      <c r="P540" s="122" t="b">
        <f t="shared" si="152"/>
        <v>0</v>
      </c>
      <c r="Q540" s="169">
        <f t="shared" si="147"/>
        <v>0</v>
      </c>
      <c r="R540" s="215"/>
      <c r="S540" s="106"/>
      <c r="T540" s="106"/>
      <c r="U540" s="169">
        <f t="shared" si="90"/>
        <v>0</v>
      </c>
      <c r="V540" s="168"/>
      <c r="W540" s="169">
        <f t="shared" si="132"/>
        <v>0</v>
      </c>
      <c r="X540" s="168">
        <f t="shared" si="133"/>
        <v>0</v>
      </c>
      <c r="Y540" s="168">
        <f t="shared" si="134"/>
        <v>0</v>
      </c>
      <c r="Z540" s="215">
        <f t="shared" si="135"/>
        <v>0</v>
      </c>
      <c r="AA540" s="169" t="b">
        <f t="shared" si="139"/>
        <v>0</v>
      </c>
      <c r="AB540" s="168" t="b">
        <f t="shared" si="140"/>
        <v>0</v>
      </c>
      <c r="AC540" s="168" t="b">
        <f t="shared" si="141"/>
        <v>0</v>
      </c>
      <c r="AD540" s="215" t="b">
        <f t="shared" si="142"/>
        <v>0</v>
      </c>
      <c r="AI540" s="170" t="str">
        <f t="shared" si="127"/>
        <v> </v>
      </c>
      <c r="AJ540" s="168">
        <f t="shared" si="128"/>
        <v>0</v>
      </c>
      <c r="AK540" s="168">
        <f ca="1" t="shared" si="143"/>
        <v>0</v>
      </c>
      <c r="AL540" s="168">
        <f t="shared" si="115"/>
        <v>0</v>
      </c>
      <c r="AM540" s="215"/>
      <c r="AN540" s="170" t="str">
        <f t="shared" si="129"/>
        <v>Navigation</v>
      </c>
      <c r="AO540" s="168">
        <f t="shared" si="130"/>
        <v>0</v>
      </c>
      <c r="AP540" s="168">
        <f ca="1" t="shared" si="96"/>
        <v>0</v>
      </c>
      <c r="AQ540" s="168" t="str">
        <f t="shared" si="131"/>
        <v>P</v>
      </c>
      <c r="AR540" s="168">
        <f t="shared" si="136"/>
        <v>0</v>
      </c>
      <c r="AS540" s="215"/>
      <c r="AX540" s="117"/>
      <c r="BQ540" s="211">
        <f t="shared" si="108"/>
        <v>42</v>
      </c>
      <c r="BR540" s="249" t="str">
        <f t="shared" si="144"/>
        <v>Hosiery, Silk</v>
      </c>
      <c r="BS540" s="168">
        <f t="shared" si="145"/>
        <v>0</v>
      </c>
      <c r="BT540" s="168">
        <f t="shared" si="146"/>
        <v>20</v>
      </c>
      <c r="BU540" s="168" t="s">
        <v>2584</v>
      </c>
      <c r="BV540" s="249">
        <f t="shared" si="124"/>
        <v>8</v>
      </c>
      <c r="BW540" s="249" t="str">
        <f t="shared" si="125"/>
        <v>Silk Hosiery</v>
      </c>
      <c r="BX540" s="249" t="str">
        <f t="shared" si="105"/>
        <v> </v>
      </c>
      <c r="BY540" s="168">
        <f t="shared" si="109"/>
        <v>0</v>
      </c>
      <c r="BZ540" s="171"/>
    </row>
    <row r="541" spans="2:78" ht="12.75">
      <c r="B541" s="137">
        <v>1</v>
      </c>
      <c r="C541" s="112" t="str">
        <f t="shared" si="148"/>
        <v> </v>
      </c>
      <c r="D541" s="112" t="str">
        <f t="shared" si="153"/>
        <v> </v>
      </c>
      <c r="E541" s="122">
        <f t="shared" si="149"/>
        <v>0</v>
      </c>
      <c r="F541" s="134">
        <f ca="1" t="shared" si="154"/>
        <v>0</v>
      </c>
      <c r="G541" s="122">
        <f>IF(C541&lt;&gt;" ",MATCH(D541,Talents!B$3:B$278,1),0)</f>
        <v>0</v>
      </c>
      <c r="H541" s="122" t="str">
        <f ca="1">IF(G541=0," ",OFFSET(Talents!C$2,G541,0))</f>
        <v> </v>
      </c>
      <c r="I541" s="122" t="str">
        <f ca="1">IF(G541=0," ",OFFSET(Talents!D$2,G541,0))</f>
        <v> </v>
      </c>
      <c r="J541" s="122" t="str">
        <f t="shared" si="155"/>
        <v> </v>
      </c>
      <c r="K541" s="122">
        <f t="shared" si="150"/>
        <v>0</v>
      </c>
      <c r="L541" s="122" t="str">
        <f t="shared" si="138"/>
        <v> </v>
      </c>
      <c r="M541" s="122" t="str">
        <f ca="1" t="shared" si="87"/>
        <v>-</v>
      </c>
      <c r="N541" s="112" t="b">
        <f t="shared" si="151"/>
        <v>0</v>
      </c>
      <c r="O541" s="122" t="str">
        <f ca="1">IF(G541&gt;0,IF(N541,"D",OFFSET(Talents!E$2,G541,0))&amp;OFFSET(Talents!F$2,G541,0)," ")</f>
        <v> </v>
      </c>
      <c r="P541" s="122" t="b">
        <f t="shared" si="152"/>
        <v>0</v>
      </c>
      <c r="Q541" s="169">
        <f t="shared" si="147"/>
        <v>0</v>
      </c>
      <c r="R541" s="215"/>
      <c r="S541" s="106"/>
      <c r="T541" s="106"/>
      <c r="U541" s="169">
        <f t="shared" si="90"/>
        <v>0</v>
      </c>
      <c r="V541" s="168"/>
      <c r="W541" s="169">
        <f t="shared" si="132"/>
        <v>0</v>
      </c>
      <c r="X541" s="168">
        <f t="shared" si="133"/>
        <v>0</v>
      </c>
      <c r="Y541" s="168">
        <f t="shared" si="134"/>
        <v>0</v>
      </c>
      <c r="Z541" s="215">
        <f t="shared" si="135"/>
        <v>0</v>
      </c>
      <c r="AA541" s="169" t="b">
        <f t="shared" si="139"/>
        <v>0</v>
      </c>
      <c r="AB541" s="168" t="b">
        <f t="shared" si="140"/>
        <v>0</v>
      </c>
      <c r="AC541" s="168" t="b">
        <f t="shared" si="141"/>
        <v>0</v>
      </c>
      <c r="AD541" s="215" t="b">
        <f t="shared" si="142"/>
        <v>0</v>
      </c>
      <c r="AI541" s="170" t="str">
        <f t="shared" si="127"/>
        <v> </v>
      </c>
      <c r="AJ541" s="168">
        <f t="shared" si="128"/>
        <v>0</v>
      </c>
      <c r="AK541" s="168">
        <f ca="1" t="shared" si="143"/>
        <v>0</v>
      </c>
      <c r="AL541" s="168">
        <f aca="true" t="shared" si="156" ref="AL541:AL572">AL540+IF(AND(AI541&lt;&gt;" ",AJ541&gt;0),1,0)</f>
        <v>0</v>
      </c>
      <c r="AM541" s="215"/>
      <c r="AN541" s="170" t="str">
        <f t="shared" si="129"/>
        <v>Physician</v>
      </c>
      <c r="AO541" s="168">
        <f t="shared" si="130"/>
        <v>0</v>
      </c>
      <c r="AP541" s="168">
        <f ca="1" t="shared" si="96"/>
        <v>0</v>
      </c>
      <c r="AQ541" s="168" t="str">
        <f t="shared" si="131"/>
        <v>P</v>
      </c>
      <c r="AR541" s="168">
        <f t="shared" si="136"/>
        <v>0</v>
      </c>
      <c r="AS541" s="215"/>
      <c r="AX541" s="117"/>
      <c r="BQ541" s="211">
        <f t="shared" si="108"/>
        <v>43</v>
      </c>
      <c r="BR541" s="249" t="str">
        <f t="shared" si="144"/>
        <v>Jacket, Wool</v>
      </c>
      <c r="BS541" s="168">
        <f t="shared" si="145"/>
        <v>0</v>
      </c>
      <c r="BT541" s="168">
        <f t="shared" si="146"/>
        <v>12</v>
      </c>
      <c r="BU541" s="168" t="s">
        <v>2584</v>
      </c>
      <c r="BV541" s="249">
        <f t="shared" si="124"/>
        <v>7</v>
      </c>
      <c r="BW541" s="249" t="str">
        <f t="shared" si="125"/>
        <v>Wool Jacket</v>
      </c>
      <c r="BX541" s="249" t="str">
        <f t="shared" si="105"/>
        <v> </v>
      </c>
      <c r="BY541" s="168">
        <f t="shared" si="109"/>
        <v>0</v>
      </c>
      <c r="BZ541" s="171"/>
    </row>
    <row r="542" spans="2:78" ht="12.75">
      <c r="B542" s="137">
        <v>1</v>
      </c>
      <c r="C542" s="112" t="str">
        <f t="shared" si="148"/>
        <v> </v>
      </c>
      <c r="D542" s="112" t="str">
        <f t="shared" si="153"/>
        <v> </v>
      </c>
      <c r="E542" s="122">
        <f t="shared" si="149"/>
        <v>0</v>
      </c>
      <c r="F542" s="134">
        <f ca="1" t="shared" si="154"/>
        <v>0</v>
      </c>
      <c r="G542" s="122">
        <f>IF(C542&lt;&gt;" ",MATCH(D542,Talents!B$3:B$278,1),0)</f>
        <v>0</v>
      </c>
      <c r="H542" s="122" t="str">
        <f ca="1">IF(G542=0," ",OFFSET(Talents!C$2,G542,0))</f>
        <v> </v>
      </c>
      <c r="I542" s="122" t="str">
        <f ca="1">IF(G542=0," ",OFFSET(Talents!D$2,G542,0))</f>
        <v> </v>
      </c>
      <c r="J542" s="122" t="str">
        <f t="shared" si="155"/>
        <v> </v>
      </c>
      <c r="K542" s="122">
        <f t="shared" si="150"/>
        <v>0</v>
      </c>
      <c r="L542" s="122" t="str">
        <f t="shared" si="138"/>
        <v> </v>
      </c>
      <c r="M542" s="122" t="str">
        <f ca="1" t="shared" si="87"/>
        <v>-</v>
      </c>
      <c r="N542" s="112" t="b">
        <f t="shared" si="151"/>
        <v>0</v>
      </c>
      <c r="O542" s="122" t="str">
        <f ca="1">IF(G542&gt;0,IF(N542,"D",OFFSET(Talents!E$2,G542,0))&amp;OFFSET(Talents!F$2,G542,0)," ")</f>
        <v> </v>
      </c>
      <c r="P542" s="122" t="b">
        <f t="shared" si="152"/>
        <v>0</v>
      </c>
      <c r="Q542" s="169">
        <f t="shared" si="147"/>
        <v>0</v>
      </c>
      <c r="R542" s="215"/>
      <c r="S542" s="106"/>
      <c r="T542" s="106"/>
      <c r="U542" s="169">
        <f t="shared" si="90"/>
        <v>0</v>
      </c>
      <c r="V542" s="168"/>
      <c r="W542" s="169">
        <f t="shared" si="132"/>
        <v>0</v>
      </c>
      <c r="X542" s="168">
        <f t="shared" si="133"/>
        <v>0</v>
      </c>
      <c r="Y542" s="168">
        <f t="shared" si="134"/>
        <v>0</v>
      </c>
      <c r="Z542" s="215">
        <f t="shared" si="135"/>
        <v>0</v>
      </c>
      <c r="AA542" s="169" t="b">
        <f t="shared" si="139"/>
        <v>0</v>
      </c>
      <c r="AB542" s="168" t="b">
        <f t="shared" si="140"/>
        <v>0</v>
      </c>
      <c r="AC542" s="168" t="b">
        <f t="shared" si="141"/>
        <v>0</v>
      </c>
      <c r="AD542" s="215" t="b">
        <f t="shared" si="142"/>
        <v>0</v>
      </c>
      <c r="AI542" s="170" t="str">
        <f t="shared" si="127"/>
        <v> </v>
      </c>
      <c r="AJ542" s="168">
        <f t="shared" si="128"/>
        <v>0</v>
      </c>
      <c r="AK542" s="168">
        <f ca="1" t="shared" si="143"/>
        <v>0</v>
      </c>
      <c r="AL542" s="168">
        <f t="shared" si="156"/>
        <v>0</v>
      </c>
      <c r="AM542" s="215"/>
      <c r="AN542" s="170" t="str">
        <f t="shared" si="129"/>
        <v>Read &amp; Write Language</v>
      </c>
      <c r="AO542" s="168">
        <f t="shared" si="130"/>
        <v>0</v>
      </c>
      <c r="AP542" s="168">
        <f ca="1" t="shared" si="96"/>
        <v>0</v>
      </c>
      <c r="AQ542" s="168" t="str">
        <f t="shared" si="131"/>
        <v>P</v>
      </c>
      <c r="AR542" s="168">
        <f t="shared" si="136"/>
        <v>0</v>
      </c>
      <c r="AS542" s="215"/>
      <c r="AX542" s="117"/>
      <c r="BQ542" s="211">
        <f t="shared" si="108"/>
        <v>44</v>
      </c>
      <c r="BR542" s="249" t="str">
        <f t="shared" si="144"/>
        <v>Jacket, Silk</v>
      </c>
      <c r="BS542" s="168">
        <f t="shared" si="145"/>
        <v>0</v>
      </c>
      <c r="BT542" s="168">
        <f t="shared" si="146"/>
        <v>90</v>
      </c>
      <c r="BU542" s="168" t="s">
        <v>2584</v>
      </c>
      <c r="BV542" s="249">
        <f t="shared" si="124"/>
        <v>7</v>
      </c>
      <c r="BW542" s="249" t="str">
        <f t="shared" si="125"/>
        <v>Silk Jacket</v>
      </c>
      <c r="BX542" s="249" t="str">
        <f t="shared" si="105"/>
        <v> </v>
      </c>
      <c r="BY542" s="168">
        <f t="shared" si="109"/>
        <v>0</v>
      </c>
      <c r="BZ542" s="171"/>
    </row>
    <row r="543" spans="2:78" ht="12.75">
      <c r="B543" s="137">
        <v>2</v>
      </c>
      <c r="C543" s="112" t="str">
        <f t="shared" si="148"/>
        <v> </v>
      </c>
      <c r="D543" s="112" t="str">
        <f t="shared" si="153"/>
        <v> </v>
      </c>
      <c r="E543" s="122">
        <f t="shared" si="149"/>
        <v>0</v>
      </c>
      <c r="F543" s="134">
        <f ca="1" t="shared" si="154"/>
        <v>0</v>
      </c>
      <c r="G543" s="122">
        <f>IF(C543&lt;&gt;" ",MATCH(D543,Talents!B$3:B$278,1),0)</f>
        <v>0</v>
      </c>
      <c r="H543" s="122" t="str">
        <f ca="1">IF(G543=0," ",OFFSET(Talents!C$2,G543,0))</f>
        <v> </v>
      </c>
      <c r="I543" s="122" t="str">
        <f ca="1">IF(G543=0," ",OFFSET(Talents!D$2,G543,0))</f>
        <v> </v>
      </c>
      <c r="J543" s="122" t="str">
        <f t="shared" si="155"/>
        <v> </v>
      </c>
      <c r="K543" s="122">
        <f t="shared" si="150"/>
        <v>0</v>
      </c>
      <c r="L543" s="122" t="str">
        <f t="shared" si="138"/>
        <v> </v>
      </c>
      <c r="M543" s="122" t="str">
        <f ca="1" t="shared" si="87"/>
        <v>-</v>
      </c>
      <c r="N543" s="112" t="b">
        <f t="shared" si="151"/>
        <v>0</v>
      </c>
      <c r="O543" s="122" t="str">
        <f ca="1">IF(G543&gt;0,IF(N543,"D",OFFSET(Talents!E$2,G543,0))&amp;OFFSET(Talents!F$2,G543,0)," ")</f>
        <v> </v>
      </c>
      <c r="P543" s="122" t="b">
        <f t="shared" si="152"/>
        <v>0</v>
      </c>
      <c r="Q543" s="169">
        <f t="shared" si="147"/>
        <v>0</v>
      </c>
      <c r="R543" s="215"/>
      <c r="S543" s="106"/>
      <c r="T543" s="106"/>
      <c r="U543" s="130">
        <f t="shared" si="90"/>
        <v>0</v>
      </c>
      <c r="V543" s="131"/>
      <c r="W543" s="169">
        <f t="shared" si="132"/>
        <v>0</v>
      </c>
      <c r="X543" s="168">
        <f t="shared" si="133"/>
        <v>0</v>
      </c>
      <c r="Y543" s="168">
        <f t="shared" si="134"/>
        <v>0</v>
      </c>
      <c r="Z543" s="215">
        <f t="shared" si="135"/>
        <v>0</v>
      </c>
      <c r="AA543" s="169" t="b">
        <f t="shared" si="139"/>
        <v>0</v>
      </c>
      <c r="AB543" s="168" t="b">
        <f t="shared" si="140"/>
        <v>0</v>
      </c>
      <c r="AC543" s="168" t="b">
        <f t="shared" si="141"/>
        <v>0</v>
      </c>
      <c r="AD543" s="215" t="b">
        <f t="shared" si="142"/>
        <v>0</v>
      </c>
      <c r="AI543" s="170" t="str">
        <f t="shared" si="127"/>
        <v> </v>
      </c>
      <c r="AJ543" s="168">
        <f t="shared" si="128"/>
        <v>0</v>
      </c>
      <c r="AK543" s="168">
        <f ca="1" t="shared" si="143"/>
        <v>0</v>
      </c>
      <c r="AL543" s="168">
        <f t="shared" si="156"/>
        <v>0</v>
      </c>
      <c r="AM543" s="215"/>
      <c r="AN543" s="170" t="str">
        <f t="shared" si="129"/>
        <v>Research</v>
      </c>
      <c r="AO543" s="168">
        <f t="shared" si="130"/>
        <v>0</v>
      </c>
      <c r="AP543" s="168">
        <f ca="1" t="shared" si="96"/>
        <v>0</v>
      </c>
      <c r="AQ543" s="168" t="str">
        <f t="shared" si="131"/>
        <v>P</v>
      </c>
      <c r="AR543" s="168">
        <f t="shared" si="136"/>
        <v>0</v>
      </c>
      <c r="AS543" s="215"/>
      <c r="BQ543" s="211">
        <f t="shared" si="108"/>
        <v>45</v>
      </c>
      <c r="BR543" s="249" t="str">
        <f t="shared" si="144"/>
        <v>Jacket, Courtier's</v>
      </c>
      <c r="BS543" s="168">
        <f t="shared" si="145"/>
        <v>0</v>
      </c>
      <c r="BT543" s="168">
        <f t="shared" si="146"/>
        <v>170</v>
      </c>
      <c r="BU543" s="168" t="s">
        <v>2584</v>
      </c>
      <c r="BV543" s="249">
        <f t="shared" si="124"/>
        <v>7</v>
      </c>
      <c r="BW543" s="249" t="str">
        <f t="shared" si="125"/>
        <v>Courtier's Jacket</v>
      </c>
      <c r="BX543" s="249" t="str">
        <f t="shared" si="105"/>
        <v> </v>
      </c>
      <c r="BY543" s="168">
        <f t="shared" si="109"/>
        <v>0</v>
      </c>
      <c r="BZ543" s="171"/>
    </row>
    <row r="544" spans="2:78" ht="12.75">
      <c r="B544" s="137">
        <v>2</v>
      </c>
      <c r="C544" s="112" t="str">
        <f t="shared" si="148"/>
        <v> </v>
      </c>
      <c r="D544" s="112" t="str">
        <f t="shared" si="153"/>
        <v> </v>
      </c>
      <c r="E544" s="122">
        <f t="shared" si="149"/>
        <v>0</v>
      </c>
      <c r="F544" s="134">
        <f ca="1" t="shared" si="154"/>
        <v>0</v>
      </c>
      <c r="G544" s="122">
        <f>IF(C544&lt;&gt;" ",MATCH(D544,Talents!B$3:B$278,1),0)</f>
        <v>0</v>
      </c>
      <c r="H544" s="122" t="str">
        <f ca="1">IF(G544=0," ",OFFSET(Talents!C$2,G544,0))</f>
        <v> </v>
      </c>
      <c r="I544" s="122" t="str">
        <f ca="1">IF(G544=0," ",OFFSET(Talents!D$2,G544,0))</f>
        <v> </v>
      </c>
      <c r="J544" s="122" t="str">
        <f t="shared" si="155"/>
        <v> </v>
      </c>
      <c r="K544" s="122">
        <f t="shared" si="150"/>
        <v>0</v>
      </c>
      <c r="L544" s="122" t="str">
        <f t="shared" si="138"/>
        <v> </v>
      </c>
      <c r="M544" s="122" t="str">
        <f ca="1" t="shared" si="87"/>
        <v>-</v>
      </c>
      <c r="N544" s="112" t="b">
        <f t="shared" si="151"/>
        <v>0</v>
      </c>
      <c r="O544" s="122" t="str">
        <f ca="1">IF(G544&gt;0,IF(N544,"D",OFFSET(Talents!E$2,G544,0))&amp;OFFSET(Talents!F$2,G544,0)," ")</f>
        <v> </v>
      </c>
      <c r="P544" s="122" t="b">
        <f t="shared" si="152"/>
        <v>0</v>
      </c>
      <c r="Q544" s="169">
        <f t="shared" si="147"/>
        <v>0</v>
      </c>
      <c r="R544" s="215"/>
      <c r="S544"/>
      <c r="T544"/>
      <c r="U544" s="106"/>
      <c r="V544" s="214"/>
      <c r="W544" s="169">
        <f t="shared" si="132"/>
        <v>0</v>
      </c>
      <c r="X544" s="168">
        <f t="shared" si="133"/>
        <v>0</v>
      </c>
      <c r="Y544" s="168">
        <f t="shared" si="134"/>
        <v>0</v>
      </c>
      <c r="Z544" s="215">
        <f t="shared" si="135"/>
        <v>0</v>
      </c>
      <c r="AA544" s="169" t="b">
        <f t="shared" si="139"/>
        <v>0</v>
      </c>
      <c r="AB544" s="168" t="b">
        <f t="shared" si="140"/>
        <v>0</v>
      </c>
      <c r="AC544" s="168" t="b">
        <f t="shared" si="141"/>
        <v>0</v>
      </c>
      <c r="AD544" s="215" t="b">
        <f t="shared" si="142"/>
        <v>0</v>
      </c>
      <c r="AI544" s="170" t="str">
        <f t="shared" si="127"/>
        <v> </v>
      </c>
      <c r="AJ544" s="168">
        <f t="shared" si="128"/>
        <v>0</v>
      </c>
      <c r="AK544" s="168">
        <f ca="1" t="shared" si="143"/>
        <v>0</v>
      </c>
      <c r="AL544" s="168">
        <f t="shared" si="156"/>
        <v>0</v>
      </c>
      <c r="AM544" s="215"/>
      <c r="AN544" s="170" t="str">
        <f t="shared" si="129"/>
        <v>Riding</v>
      </c>
      <c r="AO544" s="168">
        <f t="shared" si="130"/>
        <v>0</v>
      </c>
      <c r="AP544" s="168">
        <f ca="1" t="shared" si="96"/>
        <v>0</v>
      </c>
      <c r="AQ544" s="168" t="str">
        <f t="shared" si="131"/>
        <v>D</v>
      </c>
      <c r="AR544" s="168">
        <f t="shared" si="136"/>
        <v>0</v>
      </c>
      <c r="AS544" s="215"/>
      <c r="BQ544" s="211">
        <f t="shared" si="108"/>
        <v>46</v>
      </c>
      <c r="BR544" s="249" t="str">
        <f t="shared" si="144"/>
        <v>Pin</v>
      </c>
      <c r="BS544" s="168">
        <f t="shared" si="145"/>
        <v>0</v>
      </c>
      <c r="BT544" s="168">
        <f t="shared" si="146"/>
        <v>1</v>
      </c>
      <c r="BU544" s="168" t="s">
        <v>2584</v>
      </c>
      <c r="BV544" s="249" t="e">
        <f t="shared" si="124"/>
        <v>#VALUE!</v>
      </c>
      <c r="BW544" s="249" t="str">
        <f t="shared" si="125"/>
        <v>Pin</v>
      </c>
      <c r="BX544" s="249" t="str">
        <f t="shared" si="105"/>
        <v> </v>
      </c>
      <c r="BY544" s="168">
        <f t="shared" si="109"/>
        <v>0</v>
      </c>
      <c r="BZ544" s="171"/>
    </row>
    <row r="545" spans="2:78" ht="12.75">
      <c r="B545" s="137">
        <v>2</v>
      </c>
      <c r="C545" s="112" t="str">
        <f t="shared" si="148"/>
        <v> </v>
      </c>
      <c r="D545" s="112" t="str">
        <f t="shared" si="153"/>
        <v> </v>
      </c>
      <c r="E545" s="122">
        <f t="shared" si="149"/>
        <v>0</v>
      </c>
      <c r="F545" s="134">
        <f ca="1" t="shared" si="154"/>
        <v>0</v>
      </c>
      <c r="G545" s="122">
        <f>IF(C545&lt;&gt;" ",MATCH(D545,Talents!B$3:B$278,1),0)</f>
        <v>0</v>
      </c>
      <c r="H545" s="122" t="str">
        <f ca="1">IF(G545=0," ",OFFSET(Talents!C$2,G545,0))</f>
        <v> </v>
      </c>
      <c r="I545" s="122" t="str">
        <f ca="1">IF(G545=0," ",OFFSET(Talents!D$2,G545,0))</f>
        <v> </v>
      </c>
      <c r="J545" s="122" t="str">
        <f t="shared" si="155"/>
        <v> </v>
      </c>
      <c r="K545" s="122">
        <f t="shared" si="150"/>
        <v>0</v>
      </c>
      <c r="L545" s="122" t="str">
        <f t="shared" si="138"/>
        <v> </v>
      </c>
      <c r="M545" s="122" t="str">
        <f ca="1" t="shared" si="87"/>
        <v>-</v>
      </c>
      <c r="N545" s="112" t="b">
        <f t="shared" si="151"/>
        <v>0</v>
      </c>
      <c r="O545" s="122" t="str">
        <f ca="1">IF(G545&gt;0,IF(N545,"D",OFFSET(Talents!E$2,G545,0))&amp;OFFSET(Talents!F$2,G545,0)," ")</f>
        <v> </v>
      </c>
      <c r="P545" s="122" t="b">
        <f t="shared" si="152"/>
        <v>0</v>
      </c>
      <c r="Q545" s="169">
        <f t="shared" si="147"/>
        <v>0</v>
      </c>
      <c r="R545" s="215"/>
      <c r="S545"/>
      <c r="T545"/>
      <c r="U545" s="106"/>
      <c r="V545" s="214"/>
      <c r="W545" s="169">
        <f t="shared" si="132"/>
        <v>0</v>
      </c>
      <c r="X545" s="168">
        <f t="shared" si="133"/>
        <v>0</v>
      </c>
      <c r="Y545" s="168">
        <f t="shared" si="134"/>
        <v>0</v>
      </c>
      <c r="Z545" s="215">
        <f t="shared" si="135"/>
        <v>0</v>
      </c>
      <c r="AA545" s="169" t="b">
        <f t="shared" si="139"/>
        <v>0</v>
      </c>
      <c r="AB545" s="168" t="b">
        <f t="shared" si="140"/>
        <v>0</v>
      </c>
      <c r="AC545" s="168" t="b">
        <f t="shared" si="141"/>
        <v>0</v>
      </c>
      <c r="AD545" s="215" t="b">
        <f t="shared" si="142"/>
        <v>0</v>
      </c>
      <c r="AI545" s="170" t="str">
        <f t="shared" si="127"/>
        <v> </v>
      </c>
      <c r="AJ545" s="168">
        <f t="shared" si="128"/>
        <v>0</v>
      </c>
      <c r="AK545" s="168">
        <f ca="1" t="shared" si="143"/>
        <v>0</v>
      </c>
      <c r="AL545" s="168">
        <f t="shared" si="156"/>
        <v>0</v>
      </c>
      <c r="AM545" s="215"/>
      <c r="AN545" s="170" t="str">
        <f t="shared" si="129"/>
        <v>Sailing</v>
      </c>
      <c r="AO545" s="168">
        <f t="shared" si="130"/>
        <v>0</v>
      </c>
      <c r="AP545" s="168">
        <f ca="1" t="shared" si="96"/>
        <v>0</v>
      </c>
      <c r="AQ545" s="168" t="str">
        <f t="shared" si="131"/>
        <v>D</v>
      </c>
      <c r="AR545" s="168">
        <f t="shared" si="136"/>
        <v>0</v>
      </c>
      <c r="AS545" s="215"/>
      <c r="BQ545" s="211">
        <f t="shared" si="108"/>
        <v>47</v>
      </c>
      <c r="BR545" s="249" t="str">
        <f t="shared" si="144"/>
        <v>Robe, Linen</v>
      </c>
      <c r="BS545" s="168">
        <f t="shared" si="145"/>
        <v>0</v>
      </c>
      <c r="BT545" s="168">
        <f t="shared" si="146"/>
        <v>1.5</v>
      </c>
      <c r="BU545" s="168" t="s">
        <v>2584</v>
      </c>
      <c r="BV545" s="249">
        <f t="shared" si="124"/>
        <v>5</v>
      </c>
      <c r="BW545" s="249" t="str">
        <f t="shared" si="125"/>
        <v>Linen Robe</v>
      </c>
      <c r="BX545" s="249" t="str">
        <f t="shared" si="105"/>
        <v> </v>
      </c>
      <c r="BY545" s="168">
        <f t="shared" si="109"/>
        <v>0</v>
      </c>
      <c r="BZ545" s="171"/>
    </row>
    <row r="546" spans="2:78" ht="12.75">
      <c r="B546" s="137">
        <v>3</v>
      </c>
      <c r="C546" s="112" t="str">
        <f t="shared" si="148"/>
        <v> </v>
      </c>
      <c r="D546" s="112" t="str">
        <f t="shared" si="153"/>
        <v> </v>
      </c>
      <c r="E546" s="122">
        <f t="shared" si="149"/>
        <v>0</v>
      </c>
      <c r="F546" s="134">
        <f ca="1" t="shared" si="154"/>
        <v>0</v>
      </c>
      <c r="G546" s="122">
        <f>IF(C546&lt;&gt;" ",MATCH(D546,Talents!B$3:B$278,1),0)</f>
        <v>0</v>
      </c>
      <c r="H546" s="122" t="str">
        <f ca="1">IF(G546=0," ",OFFSET(Talents!C$2,G546,0))</f>
        <v> </v>
      </c>
      <c r="I546" s="122" t="str">
        <f ca="1">IF(G546=0," ",OFFSET(Talents!D$2,G546,0))</f>
        <v> </v>
      </c>
      <c r="J546" s="122" t="str">
        <f t="shared" si="155"/>
        <v> </v>
      </c>
      <c r="K546" s="122">
        <f t="shared" si="150"/>
        <v>0</v>
      </c>
      <c r="L546" s="122" t="str">
        <f t="shared" si="138"/>
        <v> </v>
      </c>
      <c r="M546" s="122" t="str">
        <f ca="1" t="shared" si="87"/>
        <v>-</v>
      </c>
      <c r="N546" s="112" t="b">
        <f t="shared" si="151"/>
        <v>0</v>
      </c>
      <c r="O546" s="122" t="str">
        <f ca="1">IF(G546&gt;0,IF(N546,"D",OFFSET(Talents!E$2,G546,0))&amp;OFFSET(Talents!F$2,G546,0)," ")</f>
        <v> </v>
      </c>
      <c r="P546" s="122" t="b">
        <f t="shared" si="152"/>
        <v>0</v>
      </c>
      <c r="Q546" s="169">
        <f t="shared" si="147"/>
        <v>0</v>
      </c>
      <c r="R546" s="215"/>
      <c r="S546"/>
      <c r="T546"/>
      <c r="U546" s="106"/>
      <c r="V546" s="214"/>
      <c r="W546" s="169">
        <f t="shared" si="132"/>
        <v>0</v>
      </c>
      <c r="X546" s="168">
        <f t="shared" si="133"/>
        <v>0</v>
      </c>
      <c r="Y546" s="168">
        <f t="shared" si="134"/>
        <v>0</v>
      </c>
      <c r="Z546" s="215">
        <f t="shared" si="135"/>
        <v>0</v>
      </c>
      <c r="AA546" s="169" t="b">
        <f t="shared" si="139"/>
        <v>0</v>
      </c>
      <c r="AB546" s="168" t="b">
        <f t="shared" si="140"/>
        <v>0</v>
      </c>
      <c r="AC546" s="168" t="b">
        <f t="shared" si="141"/>
        <v>0</v>
      </c>
      <c r="AD546" s="215" t="b">
        <f t="shared" si="142"/>
        <v>0</v>
      </c>
      <c r="AI546" s="170" t="str">
        <f t="shared" si="127"/>
        <v> </v>
      </c>
      <c r="AJ546" s="168">
        <f t="shared" si="128"/>
        <v>0</v>
      </c>
      <c r="AK546" s="168">
        <f ca="1" t="shared" si="143"/>
        <v>0</v>
      </c>
      <c r="AL546" s="168">
        <f t="shared" si="156"/>
        <v>0</v>
      </c>
      <c r="AM546" s="215"/>
      <c r="AN546" s="170" t="str">
        <f t="shared" si="129"/>
        <v>Seduction</v>
      </c>
      <c r="AO546" s="168">
        <f t="shared" si="130"/>
        <v>0</v>
      </c>
      <c r="AP546" s="168">
        <f ca="1" t="shared" si="96"/>
        <v>0</v>
      </c>
      <c r="AQ546" s="168" t="str">
        <f t="shared" si="131"/>
        <v>C</v>
      </c>
      <c r="AR546" s="168">
        <f t="shared" si="136"/>
        <v>0</v>
      </c>
      <c r="AS546" s="215"/>
      <c r="BQ546" s="211">
        <f t="shared" si="108"/>
        <v>48</v>
      </c>
      <c r="BR546" s="249" t="str">
        <f t="shared" si="144"/>
        <v>Robe, Embroidered</v>
      </c>
      <c r="BS546" s="168">
        <f t="shared" si="145"/>
        <v>0</v>
      </c>
      <c r="BT546" s="168">
        <f t="shared" si="146"/>
        <v>15</v>
      </c>
      <c r="BU546" s="168" t="s">
        <v>2584</v>
      </c>
      <c r="BV546" s="249">
        <f t="shared" si="124"/>
        <v>5</v>
      </c>
      <c r="BW546" s="249" t="str">
        <f t="shared" si="125"/>
        <v>Embroidered Robe</v>
      </c>
      <c r="BX546" s="249" t="str">
        <f t="shared" si="105"/>
        <v> </v>
      </c>
      <c r="BY546" s="168">
        <f t="shared" si="109"/>
        <v>0</v>
      </c>
      <c r="BZ546" s="171"/>
    </row>
    <row r="547" spans="2:78" ht="12.75">
      <c r="B547" s="137">
        <v>3</v>
      </c>
      <c r="C547" s="112" t="str">
        <f t="shared" si="148"/>
        <v> </v>
      </c>
      <c r="D547" s="112" t="str">
        <f t="shared" si="153"/>
        <v> </v>
      </c>
      <c r="E547" s="122">
        <f t="shared" si="149"/>
        <v>0</v>
      </c>
      <c r="F547" s="134">
        <f ca="1" t="shared" si="154"/>
        <v>0</v>
      </c>
      <c r="G547" s="122">
        <f>IF(C547&lt;&gt;" ",MATCH(D547,Talents!B$3:B$278,1),0)</f>
        <v>0</v>
      </c>
      <c r="H547" s="122" t="str">
        <f ca="1">IF(G547=0," ",OFFSET(Talents!C$2,G547,0))</f>
        <v> </v>
      </c>
      <c r="I547" s="122" t="str">
        <f ca="1">IF(G547=0," ",OFFSET(Talents!D$2,G547,0))</f>
        <v> </v>
      </c>
      <c r="J547" s="122" t="str">
        <f t="shared" si="155"/>
        <v> </v>
      </c>
      <c r="K547" s="122">
        <f t="shared" si="150"/>
        <v>0</v>
      </c>
      <c r="L547" s="122" t="str">
        <f t="shared" si="138"/>
        <v> </v>
      </c>
      <c r="M547" s="122" t="str">
        <f ca="1" t="shared" si="87"/>
        <v>-</v>
      </c>
      <c r="N547" s="112" t="b">
        <f t="shared" si="151"/>
        <v>0</v>
      </c>
      <c r="O547" s="122" t="str">
        <f ca="1">IF(G547&gt;0,IF(N547,"D",OFFSET(Talents!E$2,G547,0))&amp;OFFSET(Talents!F$2,G547,0)," ")</f>
        <v> </v>
      </c>
      <c r="P547" s="122" t="b">
        <f t="shared" si="152"/>
        <v>0</v>
      </c>
      <c r="Q547" s="169">
        <f t="shared" si="147"/>
        <v>0</v>
      </c>
      <c r="R547" s="215"/>
      <c r="S547"/>
      <c r="T547"/>
      <c r="U547" s="106"/>
      <c r="V547" s="214"/>
      <c r="W547" s="169">
        <f t="shared" si="132"/>
        <v>0</v>
      </c>
      <c r="X547" s="168">
        <f t="shared" si="133"/>
        <v>0</v>
      </c>
      <c r="Y547" s="168">
        <f t="shared" si="134"/>
        <v>0</v>
      </c>
      <c r="Z547" s="215">
        <f t="shared" si="135"/>
        <v>0</v>
      </c>
      <c r="AA547" s="169" t="b">
        <f t="shared" si="139"/>
        <v>0</v>
      </c>
      <c r="AB547" s="168" t="b">
        <f t="shared" si="140"/>
        <v>0</v>
      </c>
      <c r="AC547" s="168" t="b">
        <f t="shared" si="141"/>
        <v>0</v>
      </c>
      <c r="AD547" s="215" t="b">
        <f t="shared" si="142"/>
        <v>0</v>
      </c>
      <c r="AI547" s="170" t="str">
        <f t="shared" si="127"/>
        <v> </v>
      </c>
      <c r="AJ547" s="168">
        <f t="shared" si="128"/>
        <v>0</v>
      </c>
      <c r="AK547" s="168">
        <f ca="1" t="shared" si="143"/>
        <v>0</v>
      </c>
      <c r="AL547" s="168">
        <f t="shared" si="156"/>
        <v>0</v>
      </c>
      <c r="AM547" s="215"/>
      <c r="AN547" s="170" t="str">
        <f t="shared" si="129"/>
        <v>Speak Language</v>
      </c>
      <c r="AO547" s="168">
        <f t="shared" si="130"/>
        <v>0</v>
      </c>
      <c r="AP547" s="168">
        <f ca="1" t="shared" si="96"/>
        <v>0</v>
      </c>
      <c r="AQ547" s="168" t="str">
        <f t="shared" si="131"/>
        <v>P</v>
      </c>
      <c r="AR547" s="168">
        <f t="shared" si="136"/>
        <v>0</v>
      </c>
      <c r="AS547" s="215"/>
      <c r="BQ547" s="211">
        <f t="shared" si="108"/>
        <v>49</v>
      </c>
      <c r="BR547" s="249" t="str">
        <f aca="true" t="shared" si="157" ref="BR547:BR562">T182</f>
        <v>Robe, Elfweave</v>
      </c>
      <c r="BS547" s="168">
        <f aca="true" t="shared" si="158" ref="BS547:BS562">W182</f>
        <v>0</v>
      </c>
      <c r="BT547" s="168">
        <f aca="true" t="shared" si="159" ref="BT547:BT562">X182</f>
        <v>80</v>
      </c>
      <c r="BU547" s="168" t="s">
        <v>2584</v>
      </c>
      <c r="BV547" s="249">
        <f t="shared" si="124"/>
        <v>5</v>
      </c>
      <c r="BW547" s="249" t="str">
        <f t="shared" si="125"/>
        <v>Elfweave Robe</v>
      </c>
      <c r="BX547" s="249" t="str">
        <f t="shared" si="105"/>
        <v> </v>
      </c>
      <c r="BY547" s="168">
        <f t="shared" si="109"/>
        <v>0</v>
      </c>
      <c r="BZ547" s="171"/>
    </row>
    <row r="548" spans="2:78" ht="12.75">
      <c r="B548" s="137">
        <v>4</v>
      </c>
      <c r="C548" s="112" t="str">
        <f t="shared" si="148"/>
        <v> </v>
      </c>
      <c r="D548" s="112" t="str">
        <f t="shared" si="153"/>
        <v> </v>
      </c>
      <c r="E548" s="122">
        <f t="shared" si="149"/>
        <v>0</v>
      </c>
      <c r="F548" s="134">
        <f ca="1" t="shared" si="154"/>
        <v>0</v>
      </c>
      <c r="G548" s="122">
        <f>IF(C548&lt;&gt;" ",MATCH(D548,Talents!B$3:B$278,1),0)</f>
        <v>0</v>
      </c>
      <c r="H548" s="122" t="str">
        <f ca="1">IF(G548=0," ",OFFSET(Talents!C$2,G548,0))</f>
        <v> </v>
      </c>
      <c r="I548" s="122" t="str">
        <f ca="1">IF(G548=0," ",OFFSET(Talents!D$2,G548,0))</f>
        <v> </v>
      </c>
      <c r="J548" s="122" t="str">
        <f t="shared" si="155"/>
        <v> </v>
      </c>
      <c r="K548" s="122">
        <f t="shared" si="150"/>
        <v>0</v>
      </c>
      <c r="L548" s="122" t="str">
        <f t="shared" si="138"/>
        <v> </v>
      </c>
      <c r="M548" s="122" t="str">
        <f ca="1" t="shared" si="87"/>
        <v>-</v>
      </c>
      <c r="N548" s="112" t="b">
        <f t="shared" si="151"/>
        <v>0</v>
      </c>
      <c r="O548" s="122" t="str">
        <f ca="1">IF(G548&gt;0,IF(N548,"D",OFFSET(Talents!E$2,G548,0))&amp;OFFSET(Talents!F$2,G548,0)," ")</f>
        <v> </v>
      </c>
      <c r="P548" s="122" t="b">
        <f t="shared" si="152"/>
        <v>0</v>
      </c>
      <c r="Q548" s="169">
        <f t="shared" si="147"/>
        <v>0</v>
      </c>
      <c r="R548" s="215"/>
      <c r="S548"/>
      <c r="T548"/>
      <c r="U548" s="106"/>
      <c r="V548" s="214"/>
      <c r="W548" s="169">
        <f t="shared" si="132"/>
        <v>0</v>
      </c>
      <c r="X548" s="168">
        <f t="shared" si="133"/>
        <v>0</v>
      </c>
      <c r="Y548" s="168">
        <f t="shared" si="134"/>
        <v>0</v>
      </c>
      <c r="Z548" s="215">
        <f t="shared" si="135"/>
        <v>0</v>
      </c>
      <c r="AA548" s="169" t="b">
        <f t="shared" si="139"/>
        <v>0</v>
      </c>
      <c r="AB548" s="168" t="b">
        <f t="shared" si="140"/>
        <v>0</v>
      </c>
      <c r="AC548" s="168" t="b">
        <f t="shared" si="141"/>
        <v>0</v>
      </c>
      <c r="AD548" s="215" t="b">
        <f t="shared" si="142"/>
        <v>0</v>
      </c>
      <c r="AI548" s="170" t="str">
        <f t="shared" si="127"/>
        <v> </v>
      </c>
      <c r="AJ548" s="168">
        <f t="shared" si="128"/>
        <v>0</v>
      </c>
      <c r="AK548" s="168">
        <f ca="1" t="shared" si="143"/>
        <v>0</v>
      </c>
      <c r="AL548" s="168">
        <f t="shared" si="156"/>
        <v>0</v>
      </c>
      <c r="AM548" s="215"/>
      <c r="AN548" s="170" t="str">
        <f t="shared" si="129"/>
        <v>Streetwise</v>
      </c>
      <c r="AO548" s="168">
        <f t="shared" si="130"/>
        <v>0</v>
      </c>
      <c r="AP548" s="168">
        <f ca="1" t="shared" si="96"/>
        <v>0</v>
      </c>
      <c r="AQ548" s="168" t="str">
        <f t="shared" si="131"/>
        <v>P</v>
      </c>
      <c r="AR548" s="168">
        <f t="shared" si="136"/>
        <v>0</v>
      </c>
      <c r="AS548" s="215"/>
      <c r="BQ548" s="211">
        <f t="shared" si="108"/>
        <v>50</v>
      </c>
      <c r="BR548" s="249" t="str">
        <f t="shared" si="157"/>
        <v>Sandals</v>
      </c>
      <c r="BS548" s="168">
        <f t="shared" si="158"/>
        <v>0</v>
      </c>
      <c r="BT548" s="168">
        <f t="shared" si="159"/>
        <v>2</v>
      </c>
      <c r="BU548" s="168" t="s">
        <v>2584</v>
      </c>
      <c r="BV548" s="249" t="e">
        <f t="shared" si="124"/>
        <v>#VALUE!</v>
      </c>
      <c r="BW548" s="249" t="str">
        <f t="shared" si="125"/>
        <v>Sandals</v>
      </c>
      <c r="BX548" s="249" t="str">
        <f t="shared" si="105"/>
        <v> </v>
      </c>
      <c r="BY548" s="168">
        <f t="shared" si="109"/>
        <v>0</v>
      </c>
      <c r="BZ548" s="171"/>
    </row>
    <row r="549" spans="2:78" ht="12.75">
      <c r="B549" s="137">
        <v>4</v>
      </c>
      <c r="C549" s="112" t="str">
        <f t="shared" si="148"/>
        <v> </v>
      </c>
      <c r="D549" s="112" t="str">
        <f t="shared" si="153"/>
        <v> </v>
      </c>
      <c r="E549" s="122">
        <f t="shared" si="149"/>
        <v>0</v>
      </c>
      <c r="F549" s="134">
        <f ca="1" t="shared" si="154"/>
        <v>0</v>
      </c>
      <c r="G549" s="122">
        <f>IF(C549&lt;&gt;" ",MATCH(D549,Talents!B$3:B$278,1),0)</f>
        <v>0</v>
      </c>
      <c r="H549" s="122" t="str">
        <f ca="1">IF(G549=0," ",OFFSET(Talents!C$2,G549,0))</f>
        <v> </v>
      </c>
      <c r="I549" s="122" t="str">
        <f ca="1">IF(G549=0," ",OFFSET(Talents!D$2,G549,0))</f>
        <v> </v>
      </c>
      <c r="J549" s="122" t="str">
        <f t="shared" si="155"/>
        <v> </v>
      </c>
      <c r="K549" s="122">
        <f t="shared" si="150"/>
        <v>0</v>
      </c>
      <c r="L549" s="122" t="str">
        <f t="shared" si="138"/>
        <v> </v>
      </c>
      <c r="M549" s="122" t="str">
        <f ca="1" t="shared" si="87"/>
        <v>-</v>
      </c>
      <c r="N549" s="112" t="b">
        <f t="shared" si="151"/>
        <v>0</v>
      </c>
      <c r="O549" s="122" t="str">
        <f ca="1">IF(G549&gt;0,IF(N549,"D",OFFSET(Talents!E$2,G549,0))&amp;OFFSET(Talents!F$2,G549,0)," ")</f>
        <v> </v>
      </c>
      <c r="P549" s="122" t="b">
        <f t="shared" si="152"/>
        <v>0</v>
      </c>
      <c r="Q549" s="169">
        <f t="shared" si="147"/>
        <v>0</v>
      </c>
      <c r="R549" s="215"/>
      <c r="S549"/>
      <c r="T549"/>
      <c r="U549" s="106"/>
      <c r="V549" s="214"/>
      <c r="W549" s="169">
        <f t="shared" si="132"/>
        <v>0</v>
      </c>
      <c r="X549" s="168">
        <f t="shared" si="133"/>
        <v>0</v>
      </c>
      <c r="Y549" s="168">
        <f t="shared" si="134"/>
        <v>0</v>
      </c>
      <c r="Z549" s="215">
        <f t="shared" si="135"/>
        <v>0</v>
      </c>
      <c r="AA549" s="169" t="b">
        <f t="shared" si="139"/>
        <v>0</v>
      </c>
      <c r="AB549" s="168" t="b">
        <f t="shared" si="140"/>
        <v>0</v>
      </c>
      <c r="AC549" s="168" t="b">
        <f t="shared" si="141"/>
        <v>0</v>
      </c>
      <c r="AD549" s="215" t="b">
        <f t="shared" si="142"/>
        <v>0</v>
      </c>
      <c r="AI549" s="170" t="str">
        <f t="shared" si="127"/>
        <v> </v>
      </c>
      <c r="AJ549" s="168">
        <f t="shared" si="128"/>
        <v>0</v>
      </c>
      <c r="AK549" s="168">
        <f ca="1" t="shared" si="143"/>
        <v>0</v>
      </c>
      <c r="AL549" s="168">
        <f t="shared" si="156"/>
        <v>0</v>
      </c>
      <c r="AM549" s="215"/>
      <c r="AN549" s="170" t="str">
        <f t="shared" si="129"/>
        <v>Swimming</v>
      </c>
      <c r="AO549" s="168">
        <f t="shared" si="130"/>
        <v>0</v>
      </c>
      <c r="AP549" s="168">
        <f ca="1" t="shared" si="96"/>
        <v>0</v>
      </c>
      <c r="AQ549" s="168" t="str">
        <f t="shared" si="131"/>
        <v>S</v>
      </c>
      <c r="AR549" s="168">
        <f t="shared" si="136"/>
        <v>0</v>
      </c>
      <c r="AS549" s="215"/>
      <c r="BQ549" s="211">
        <f t="shared" si="108"/>
        <v>51</v>
      </c>
      <c r="BR549" s="249" t="str">
        <f t="shared" si="157"/>
        <v>Shirt, Plain</v>
      </c>
      <c r="BS549" s="168">
        <f t="shared" si="158"/>
        <v>0</v>
      </c>
      <c r="BT549" s="168">
        <f t="shared" si="159"/>
        <v>0.2</v>
      </c>
      <c r="BU549" s="168" t="s">
        <v>2584</v>
      </c>
      <c r="BV549" s="249">
        <f t="shared" si="124"/>
        <v>6</v>
      </c>
      <c r="BW549" s="249" t="str">
        <f t="shared" si="125"/>
        <v>Plain Shirt</v>
      </c>
      <c r="BX549" s="249" t="str">
        <f t="shared" si="105"/>
        <v> </v>
      </c>
      <c r="BY549" s="168">
        <f t="shared" si="109"/>
        <v>0</v>
      </c>
      <c r="BZ549" s="171"/>
    </row>
    <row r="550" spans="2:78" ht="12.75">
      <c r="B550" s="137">
        <v>5</v>
      </c>
      <c r="C550" s="112" t="str">
        <f t="shared" si="148"/>
        <v> </v>
      </c>
      <c r="D550" s="112" t="str">
        <f t="shared" si="153"/>
        <v> </v>
      </c>
      <c r="E550" s="122">
        <f t="shared" si="149"/>
        <v>0</v>
      </c>
      <c r="F550" s="134">
        <f aca="true" ca="1" t="shared" si="160" ref="F550:F557">OFFSET(Cost_5_8,E550,0)</f>
        <v>0</v>
      </c>
      <c r="G550" s="122">
        <f>IF(C550&lt;&gt;" ",MATCH(D550,Talents!B$3:B$278,1),0)</f>
        <v>0</v>
      </c>
      <c r="H550" s="122" t="str">
        <f ca="1">IF(G550=0," ",OFFSET(Talents!C$2,G550,0))</f>
        <v> </v>
      </c>
      <c r="I550" s="122" t="str">
        <f ca="1">IF(G550=0," ",OFFSET(Talents!D$2,G550,0))</f>
        <v> </v>
      </c>
      <c r="J550" s="122" t="str">
        <f t="shared" si="155"/>
        <v> </v>
      </c>
      <c r="K550" s="122">
        <f t="shared" si="150"/>
        <v>0</v>
      </c>
      <c r="L550" s="122" t="str">
        <f t="shared" si="138"/>
        <v> </v>
      </c>
      <c r="M550" s="122" t="str">
        <f ca="1" t="shared" si="87"/>
        <v>-</v>
      </c>
      <c r="N550" s="112" t="b">
        <f t="shared" si="151"/>
        <v>0</v>
      </c>
      <c r="O550" s="122" t="str">
        <f ca="1">IF(G550&gt;0,IF(N550,"D",OFFSET(Talents!E$2,G550,0))&amp;OFFSET(Talents!F$2,G550,0)," ")</f>
        <v> </v>
      </c>
      <c r="P550" s="122" t="b">
        <f t="shared" si="152"/>
        <v>0</v>
      </c>
      <c r="Q550" s="169">
        <f t="shared" si="147"/>
        <v>0</v>
      </c>
      <c r="R550" s="215"/>
      <c r="S550"/>
      <c r="T550"/>
      <c r="U550" s="106"/>
      <c r="V550" s="214"/>
      <c r="W550" s="169">
        <f t="shared" si="132"/>
        <v>0</v>
      </c>
      <c r="X550" s="168">
        <f t="shared" si="133"/>
        <v>0</v>
      </c>
      <c r="Y550" s="168">
        <f t="shared" si="134"/>
        <v>0</v>
      </c>
      <c r="Z550" s="215">
        <f t="shared" si="135"/>
        <v>0</v>
      </c>
      <c r="AA550" s="169" t="b">
        <f t="shared" si="139"/>
        <v>0</v>
      </c>
      <c r="AB550" s="168" t="b">
        <f t="shared" si="140"/>
        <v>0</v>
      </c>
      <c r="AC550" s="168" t="b">
        <f t="shared" si="141"/>
        <v>0</v>
      </c>
      <c r="AD550" s="215" t="b">
        <f t="shared" si="142"/>
        <v>0</v>
      </c>
      <c r="AI550" s="170" t="str">
        <f t="shared" si="127"/>
        <v> </v>
      </c>
      <c r="AJ550" s="168">
        <f t="shared" si="128"/>
        <v>0</v>
      </c>
      <c r="AK550" s="168">
        <f ca="1" t="shared" si="143"/>
        <v>0</v>
      </c>
      <c r="AL550" s="168">
        <f t="shared" si="156"/>
        <v>0</v>
      </c>
      <c r="AM550" s="215"/>
      <c r="AN550" s="170" t="str">
        <f t="shared" si="129"/>
        <v>Tactics</v>
      </c>
      <c r="AO550" s="168">
        <f t="shared" si="130"/>
        <v>0</v>
      </c>
      <c r="AP550" s="168">
        <f ca="1" t="shared" si="96"/>
        <v>0</v>
      </c>
      <c r="AQ550" s="168" t="str">
        <f t="shared" si="131"/>
        <v>P</v>
      </c>
      <c r="AR550" s="168">
        <f t="shared" si="136"/>
        <v>0</v>
      </c>
      <c r="AS550" s="215"/>
      <c r="BQ550" s="211">
        <f t="shared" si="108"/>
        <v>52</v>
      </c>
      <c r="BR550" s="249" t="str">
        <f t="shared" si="157"/>
        <v>Shirt, Patterned</v>
      </c>
      <c r="BS550" s="168">
        <f t="shared" si="158"/>
        <v>0</v>
      </c>
      <c r="BT550" s="168">
        <f t="shared" si="159"/>
        <v>1</v>
      </c>
      <c r="BU550" s="168" t="s">
        <v>2584</v>
      </c>
      <c r="BV550" s="249">
        <f t="shared" si="124"/>
        <v>6</v>
      </c>
      <c r="BW550" s="249" t="str">
        <f t="shared" si="125"/>
        <v>Patterned Shirt</v>
      </c>
      <c r="BX550" s="249" t="str">
        <f t="shared" si="105"/>
        <v> </v>
      </c>
      <c r="BY550" s="168">
        <f t="shared" si="109"/>
        <v>0</v>
      </c>
      <c r="BZ550" s="171"/>
    </row>
    <row r="551" spans="2:78" ht="12.75">
      <c r="B551" s="137">
        <v>5</v>
      </c>
      <c r="C551" s="112" t="str">
        <f t="shared" si="148"/>
        <v> </v>
      </c>
      <c r="D551" s="112" t="str">
        <f t="shared" si="153"/>
        <v> </v>
      </c>
      <c r="E551" s="122">
        <f t="shared" si="149"/>
        <v>0</v>
      </c>
      <c r="F551" s="134">
        <f ca="1" t="shared" si="160"/>
        <v>0</v>
      </c>
      <c r="G551" s="122">
        <f>IF(C551&lt;&gt;" ",MATCH(D551,Talents!B$3:B$278,1),0)</f>
        <v>0</v>
      </c>
      <c r="H551" s="122" t="str">
        <f ca="1">IF(G551=0," ",OFFSET(Talents!C$2,G551,0))</f>
        <v> </v>
      </c>
      <c r="I551" s="122" t="str">
        <f ca="1">IF(G551=0," ",OFFSET(Talents!D$2,G551,0))</f>
        <v> </v>
      </c>
      <c r="J551" s="122" t="str">
        <f t="shared" si="155"/>
        <v> </v>
      </c>
      <c r="K551" s="122">
        <f t="shared" si="150"/>
        <v>0</v>
      </c>
      <c r="L551" s="122" t="str">
        <f t="shared" si="138"/>
        <v> </v>
      </c>
      <c r="M551" s="122" t="str">
        <f ca="1" t="shared" si="87"/>
        <v>-</v>
      </c>
      <c r="N551" s="112" t="b">
        <f t="shared" si="151"/>
        <v>0</v>
      </c>
      <c r="O551" s="122" t="str">
        <f ca="1">IF(G551&gt;0,IF(N551,"D",OFFSET(Talents!E$2,G551,0))&amp;OFFSET(Talents!F$2,G551,0)," ")</f>
        <v> </v>
      </c>
      <c r="P551" s="122" t="b">
        <f t="shared" si="152"/>
        <v>0</v>
      </c>
      <c r="Q551" s="169">
        <f t="shared" si="147"/>
        <v>0</v>
      </c>
      <c r="R551" s="215"/>
      <c r="S551"/>
      <c r="T551"/>
      <c r="U551" s="214"/>
      <c r="V551" s="214"/>
      <c r="W551" s="169">
        <f t="shared" si="132"/>
        <v>0</v>
      </c>
      <c r="X551" s="168">
        <f t="shared" si="133"/>
        <v>0</v>
      </c>
      <c r="Y551" s="168">
        <f t="shared" si="134"/>
        <v>0</v>
      </c>
      <c r="Z551" s="215">
        <f t="shared" si="135"/>
        <v>0</v>
      </c>
      <c r="AA551" s="169" t="b">
        <f t="shared" si="139"/>
        <v>0</v>
      </c>
      <c r="AB551" s="168" t="b">
        <f t="shared" si="140"/>
        <v>0</v>
      </c>
      <c r="AC551" s="168" t="b">
        <f t="shared" si="141"/>
        <v>0</v>
      </c>
      <c r="AD551" s="215" t="b">
        <f t="shared" si="142"/>
        <v>0</v>
      </c>
      <c r="AI551" s="170" t="str">
        <f t="shared" si="127"/>
        <v> </v>
      </c>
      <c r="AJ551" s="168">
        <f t="shared" si="128"/>
        <v>0</v>
      </c>
      <c r="AK551" s="168">
        <f ca="1" t="shared" si="143"/>
        <v>0</v>
      </c>
      <c r="AL551" s="168">
        <f t="shared" si="156"/>
        <v>0</v>
      </c>
      <c r="AM551" s="215"/>
      <c r="AN551" s="170" t="str">
        <f t="shared" si="129"/>
        <v>Tracking</v>
      </c>
      <c r="AO551" s="168">
        <f t="shared" si="130"/>
        <v>0</v>
      </c>
      <c r="AP551" s="168">
        <f ca="1" t="shared" si="96"/>
        <v>0</v>
      </c>
      <c r="AQ551" s="168" t="str">
        <f t="shared" si="131"/>
        <v>P</v>
      </c>
      <c r="AR551" s="168">
        <f t="shared" si="136"/>
        <v>0</v>
      </c>
      <c r="AS551" s="215"/>
      <c r="BQ551" s="211">
        <f t="shared" si="108"/>
        <v>53</v>
      </c>
      <c r="BR551" s="249" t="str">
        <f t="shared" si="157"/>
        <v>Shirt, Silk</v>
      </c>
      <c r="BS551" s="168">
        <f t="shared" si="158"/>
        <v>0</v>
      </c>
      <c r="BT551" s="168">
        <f t="shared" si="159"/>
        <v>45</v>
      </c>
      <c r="BU551" s="168" t="s">
        <v>2584</v>
      </c>
      <c r="BV551" s="249">
        <f t="shared" si="124"/>
        <v>6</v>
      </c>
      <c r="BW551" s="249" t="str">
        <f t="shared" si="125"/>
        <v>Silk Shirt</v>
      </c>
      <c r="BX551" s="249" t="str">
        <f t="shared" si="105"/>
        <v> </v>
      </c>
      <c r="BY551" s="168">
        <f t="shared" si="109"/>
        <v>0</v>
      </c>
      <c r="BZ551" s="171"/>
    </row>
    <row r="552" spans="2:78" ht="12.75">
      <c r="B552" s="137">
        <v>6</v>
      </c>
      <c r="C552" s="112" t="str">
        <f t="shared" si="148"/>
        <v> </v>
      </c>
      <c r="D552" s="112" t="str">
        <f t="shared" si="153"/>
        <v> </v>
      </c>
      <c r="E552" s="122">
        <f t="shared" si="149"/>
        <v>0</v>
      </c>
      <c r="F552" s="134">
        <f ca="1" t="shared" si="160"/>
        <v>0</v>
      </c>
      <c r="G552" s="122">
        <f>IF(C552&lt;&gt;" ",MATCH(D552,Talents!B$3:B$278,1),0)</f>
        <v>0</v>
      </c>
      <c r="H552" s="122" t="str">
        <f ca="1">IF(G552=0," ",OFFSET(Talents!C$2,G552,0))</f>
        <v> </v>
      </c>
      <c r="I552" s="122" t="str">
        <f ca="1">IF(G552=0," ",OFFSET(Talents!D$2,G552,0))</f>
        <v> </v>
      </c>
      <c r="J552" s="122" t="str">
        <f t="shared" si="155"/>
        <v> </v>
      </c>
      <c r="K552" s="122">
        <f t="shared" si="150"/>
        <v>0</v>
      </c>
      <c r="L552" s="122" t="str">
        <f t="shared" si="138"/>
        <v> </v>
      </c>
      <c r="M552" s="122" t="str">
        <f ca="1" t="shared" si="87"/>
        <v>-</v>
      </c>
      <c r="N552" s="112" t="b">
        <f t="shared" si="151"/>
        <v>0</v>
      </c>
      <c r="O552" s="122" t="str">
        <f ca="1">IF(G552&gt;0,IF(N552,"D",OFFSET(Talents!E$2,G552,0))&amp;OFFSET(Talents!F$2,G552,0)," ")</f>
        <v> </v>
      </c>
      <c r="P552" s="122" t="b">
        <f t="shared" si="152"/>
        <v>0</v>
      </c>
      <c r="Q552" s="169">
        <f t="shared" si="147"/>
        <v>0</v>
      </c>
      <c r="R552" s="215"/>
      <c r="S552"/>
      <c r="T552"/>
      <c r="U552" s="214"/>
      <c r="V552" s="214"/>
      <c r="W552" s="169">
        <f t="shared" si="132"/>
        <v>0</v>
      </c>
      <c r="X552" s="168">
        <f t="shared" si="133"/>
        <v>0</v>
      </c>
      <c r="Y552" s="168">
        <f t="shared" si="134"/>
        <v>0</v>
      </c>
      <c r="Z552" s="215">
        <f t="shared" si="135"/>
        <v>0</v>
      </c>
      <c r="AA552" s="169" t="b">
        <f t="shared" si="139"/>
        <v>0</v>
      </c>
      <c r="AB552" s="168" t="b">
        <f t="shared" si="140"/>
        <v>0</v>
      </c>
      <c r="AC552" s="168" t="b">
        <f t="shared" si="141"/>
        <v>0</v>
      </c>
      <c r="AD552" s="215" t="b">
        <f t="shared" si="142"/>
        <v>0</v>
      </c>
      <c r="AI552" s="170" t="str">
        <f t="shared" si="127"/>
        <v> </v>
      </c>
      <c r="AJ552" s="168">
        <f t="shared" si="128"/>
        <v>0</v>
      </c>
      <c r="AK552" s="168">
        <f ca="1" t="shared" si="143"/>
        <v>0</v>
      </c>
      <c r="AL552" s="168">
        <f t="shared" si="156"/>
        <v>0</v>
      </c>
      <c r="AM552" s="215"/>
      <c r="AN552" s="170" t="str">
        <f t="shared" si="129"/>
        <v>Trading</v>
      </c>
      <c r="AO552" s="168">
        <f t="shared" si="130"/>
        <v>0</v>
      </c>
      <c r="AP552" s="168">
        <f ca="1" t="shared" si="96"/>
        <v>0</v>
      </c>
      <c r="AQ552" s="168" t="str">
        <f t="shared" si="131"/>
        <v>C</v>
      </c>
      <c r="AR552" s="168">
        <f t="shared" si="136"/>
        <v>0</v>
      </c>
      <c r="AS552" s="215"/>
      <c r="BQ552" s="211">
        <f t="shared" si="108"/>
        <v>54</v>
      </c>
      <c r="BR552" s="249" t="str">
        <f t="shared" si="157"/>
        <v>Shoes, Merchant's</v>
      </c>
      <c r="BS552" s="168">
        <f t="shared" si="158"/>
        <v>0</v>
      </c>
      <c r="BT552" s="168">
        <f t="shared" si="159"/>
        <v>2</v>
      </c>
      <c r="BU552" s="168" t="s">
        <v>2584</v>
      </c>
      <c r="BV552" s="249">
        <f t="shared" si="124"/>
        <v>6</v>
      </c>
      <c r="BW552" s="249" t="str">
        <f t="shared" si="125"/>
        <v>Merchant's Shoes</v>
      </c>
      <c r="BX552" s="249" t="str">
        <f t="shared" si="105"/>
        <v> </v>
      </c>
      <c r="BY552" s="168">
        <f t="shared" si="109"/>
        <v>0</v>
      </c>
      <c r="BZ552" s="171"/>
    </row>
    <row r="553" spans="2:78" ht="12.75">
      <c r="B553" s="137">
        <v>6</v>
      </c>
      <c r="C553" s="112" t="str">
        <f t="shared" si="148"/>
        <v> </v>
      </c>
      <c r="D553" s="112" t="str">
        <f t="shared" si="153"/>
        <v> </v>
      </c>
      <c r="E553" s="122">
        <f t="shared" si="149"/>
        <v>0</v>
      </c>
      <c r="F553" s="134">
        <f ca="1" t="shared" si="160"/>
        <v>0</v>
      </c>
      <c r="G553" s="122">
        <f>IF(C553&lt;&gt;" ",MATCH(D553,Talents!B$3:B$278,1),0)</f>
        <v>0</v>
      </c>
      <c r="H553" s="122" t="str">
        <f ca="1">IF(G553=0," ",OFFSET(Talents!C$2,G553,0))</f>
        <v> </v>
      </c>
      <c r="I553" s="122" t="str">
        <f ca="1">IF(G553=0," ",OFFSET(Talents!D$2,G553,0))</f>
        <v> </v>
      </c>
      <c r="J553" s="122" t="str">
        <f t="shared" si="155"/>
        <v> </v>
      </c>
      <c r="K553" s="122">
        <f t="shared" si="150"/>
        <v>0</v>
      </c>
      <c r="L553" s="122" t="str">
        <f t="shared" si="138"/>
        <v> </v>
      </c>
      <c r="M553" s="122" t="str">
        <f ca="1" t="shared" si="87"/>
        <v>-</v>
      </c>
      <c r="N553" s="112" t="b">
        <f t="shared" si="151"/>
        <v>0</v>
      </c>
      <c r="O553" s="122" t="str">
        <f ca="1">IF(G553&gt;0,IF(N553,"D",OFFSET(Talents!E$2,G553,0))&amp;OFFSET(Talents!F$2,G553,0)," ")</f>
        <v> </v>
      </c>
      <c r="P553" s="122" t="b">
        <f t="shared" si="152"/>
        <v>0</v>
      </c>
      <c r="Q553" s="169">
        <f t="shared" si="147"/>
        <v>0</v>
      </c>
      <c r="R553" s="215"/>
      <c r="S553"/>
      <c r="T553"/>
      <c r="U553" s="214"/>
      <c r="V553" s="214"/>
      <c r="W553" s="169">
        <f t="shared" si="132"/>
        <v>0</v>
      </c>
      <c r="X553" s="168">
        <f t="shared" si="133"/>
        <v>0</v>
      </c>
      <c r="Y553" s="168">
        <f t="shared" si="134"/>
        <v>0</v>
      </c>
      <c r="Z553" s="215">
        <f t="shared" si="135"/>
        <v>0</v>
      </c>
      <c r="AA553" s="169" t="b">
        <f t="shared" si="139"/>
        <v>0</v>
      </c>
      <c r="AB553" s="168" t="b">
        <f t="shared" si="140"/>
        <v>0</v>
      </c>
      <c r="AC553" s="168" t="b">
        <f t="shared" si="141"/>
        <v>0</v>
      </c>
      <c r="AD553" s="215" t="b">
        <f t="shared" si="142"/>
        <v>0</v>
      </c>
      <c r="AI553" s="170" t="str">
        <f t="shared" si="127"/>
        <v> </v>
      </c>
      <c r="AJ553" s="168">
        <f t="shared" si="128"/>
        <v>0</v>
      </c>
      <c r="AK553" s="168">
        <f ca="1" t="shared" si="143"/>
        <v>0</v>
      </c>
      <c r="AL553" s="168">
        <f t="shared" si="156"/>
        <v>0</v>
      </c>
      <c r="AM553" s="215"/>
      <c r="AN553" s="170" t="str">
        <f t="shared" si="129"/>
        <v>Wilderness Survival</v>
      </c>
      <c r="AO553" s="168">
        <f t="shared" si="130"/>
        <v>0</v>
      </c>
      <c r="AP553" s="168">
        <f ca="1" t="shared" si="96"/>
        <v>0</v>
      </c>
      <c r="AQ553" s="168" t="str">
        <f t="shared" si="131"/>
        <v>P</v>
      </c>
      <c r="AR553" s="168">
        <f t="shared" si="136"/>
        <v>0</v>
      </c>
      <c r="AS553" s="215"/>
      <c r="BQ553" s="211">
        <f t="shared" si="108"/>
        <v>55</v>
      </c>
      <c r="BR553" s="249" t="str">
        <f t="shared" si="157"/>
        <v>Shoes, Courtier's</v>
      </c>
      <c r="BS553" s="168">
        <f t="shared" si="158"/>
        <v>0</v>
      </c>
      <c r="BT553" s="168">
        <f t="shared" si="159"/>
        <v>40</v>
      </c>
      <c r="BU553" s="168" t="s">
        <v>2584</v>
      </c>
      <c r="BV553" s="249">
        <f t="shared" si="124"/>
        <v>6</v>
      </c>
      <c r="BW553" s="249" t="str">
        <f t="shared" si="125"/>
        <v>Courtier's Shoes</v>
      </c>
      <c r="BX553" s="249" t="str">
        <f t="shared" si="105"/>
        <v> </v>
      </c>
      <c r="BY553" s="168">
        <f t="shared" si="109"/>
        <v>0</v>
      </c>
      <c r="BZ553" s="171"/>
    </row>
    <row r="554" spans="2:78" ht="12.75">
      <c r="B554" s="137">
        <v>7</v>
      </c>
      <c r="C554" s="112" t="str">
        <f t="shared" si="148"/>
        <v> </v>
      </c>
      <c r="D554" s="112" t="str">
        <f t="shared" si="153"/>
        <v> </v>
      </c>
      <c r="E554" s="122">
        <f t="shared" si="149"/>
        <v>0</v>
      </c>
      <c r="F554" s="134">
        <f ca="1" t="shared" si="160"/>
        <v>0</v>
      </c>
      <c r="G554" s="122">
        <f>IF(C554&lt;&gt;" ",MATCH(D554,Talents!B$3:B$278,1),0)</f>
        <v>0</v>
      </c>
      <c r="H554" s="122" t="str">
        <f ca="1">IF(G554=0," ",OFFSET(Talents!C$2,G554,0))</f>
        <v> </v>
      </c>
      <c r="I554" s="122" t="str">
        <f ca="1">IF(G554=0," ",OFFSET(Talents!D$2,G554,0))</f>
        <v> </v>
      </c>
      <c r="J554" s="122" t="str">
        <f t="shared" si="155"/>
        <v> </v>
      </c>
      <c r="K554" s="122">
        <f t="shared" si="150"/>
        <v>0</v>
      </c>
      <c r="L554" s="122" t="str">
        <f t="shared" si="138"/>
        <v> </v>
      </c>
      <c r="M554" s="122" t="str">
        <f ca="1" t="shared" si="87"/>
        <v>-</v>
      </c>
      <c r="N554" s="112" t="b">
        <f t="shared" si="151"/>
        <v>0</v>
      </c>
      <c r="O554" s="122" t="str">
        <f ca="1">IF(G554&gt;0,IF(N554,"D",OFFSET(Talents!E$2,G554,0))&amp;OFFSET(Talents!F$2,G554,0)," ")</f>
        <v> </v>
      </c>
      <c r="P554" s="122" t="b">
        <f t="shared" si="152"/>
        <v>0</v>
      </c>
      <c r="Q554" s="169">
        <f t="shared" si="147"/>
        <v>0</v>
      </c>
      <c r="R554" s="215"/>
      <c r="S554"/>
      <c r="T554"/>
      <c r="U554" s="214"/>
      <c r="V554" s="214"/>
      <c r="W554" s="169">
        <f t="shared" si="132"/>
        <v>0</v>
      </c>
      <c r="X554" s="168">
        <f t="shared" si="133"/>
        <v>0</v>
      </c>
      <c r="Y554" s="168">
        <f t="shared" si="134"/>
        <v>0</v>
      </c>
      <c r="Z554" s="215">
        <f t="shared" si="135"/>
        <v>0</v>
      </c>
      <c r="AA554" s="169" t="b">
        <f t="shared" si="139"/>
        <v>0</v>
      </c>
      <c r="AB554" s="168" t="b">
        <f t="shared" si="140"/>
        <v>0</v>
      </c>
      <c r="AC554" s="168" t="b">
        <f t="shared" si="141"/>
        <v>0</v>
      </c>
      <c r="AD554" s="215" t="b">
        <f t="shared" si="142"/>
        <v>0</v>
      </c>
      <c r="AI554" s="170" t="str">
        <f t="shared" si="127"/>
        <v> </v>
      </c>
      <c r="AJ554" s="168">
        <f t="shared" si="128"/>
        <v>0</v>
      </c>
      <c r="AK554" s="168">
        <f ca="1" t="shared" si="143"/>
        <v>0</v>
      </c>
      <c r="AL554" s="168">
        <f t="shared" si="156"/>
        <v>0</v>
      </c>
      <c r="AM554" s="215"/>
      <c r="AN554" s="170" t="str">
        <f t="shared" si="129"/>
        <v> </v>
      </c>
      <c r="AO554" s="168">
        <f t="shared" si="130"/>
        <v>0</v>
      </c>
      <c r="AP554" s="168">
        <f ca="1" t="shared" si="96"/>
        <v>0</v>
      </c>
      <c r="AQ554" s="168" t="str">
        <f t="shared" si="131"/>
        <v> </v>
      </c>
      <c r="AR554" s="168">
        <f t="shared" si="136"/>
        <v>0</v>
      </c>
      <c r="AS554" s="215"/>
      <c r="BQ554" s="211">
        <f t="shared" si="108"/>
        <v>56</v>
      </c>
      <c r="BR554" s="249" t="str">
        <f t="shared" si="157"/>
        <v>Scarf</v>
      </c>
      <c r="BS554" s="168">
        <f t="shared" si="158"/>
        <v>0</v>
      </c>
      <c r="BT554" s="168">
        <f t="shared" si="159"/>
        <v>5</v>
      </c>
      <c r="BU554" s="168" t="s">
        <v>2584</v>
      </c>
      <c r="BV554" s="249" t="e">
        <f t="shared" si="124"/>
        <v>#VALUE!</v>
      </c>
      <c r="BW554" s="249" t="str">
        <f t="shared" si="125"/>
        <v>Scarf</v>
      </c>
      <c r="BX554" s="249" t="str">
        <f t="shared" si="105"/>
        <v> </v>
      </c>
      <c r="BY554" s="168">
        <f t="shared" si="109"/>
        <v>0</v>
      </c>
      <c r="BZ554" s="171"/>
    </row>
    <row r="555" spans="2:78" ht="12.75">
      <c r="B555" s="137">
        <v>7</v>
      </c>
      <c r="C555" s="112" t="str">
        <f t="shared" si="148"/>
        <v> </v>
      </c>
      <c r="D555" s="112" t="str">
        <f t="shared" si="153"/>
        <v> </v>
      </c>
      <c r="E555" s="122">
        <f t="shared" si="149"/>
        <v>0</v>
      </c>
      <c r="F555" s="134">
        <f ca="1" t="shared" si="160"/>
        <v>0</v>
      </c>
      <c r="G555" s="122">
        <f>IF(C555&lt;&gt;" ",MATCH(D555,Talents!B$3:B$278,1),0)</f>
        <v>0</v>
      </c>
      <c r="H555" s="122" t="str">
        <f ca="1">IF(G555=0," ",OFFSET(Talents!C$2,G555,0))</f>
        <v> </v>
      </c>
      <c r="I555" s="122" t="str">
        <f ca="1">IF(G555=0," ",OFFSET(Talents!D$2,G555,0))</f>
        <v> </v>
      </c>
      <c r="J555" s="122" t="str">
        <f t="shared" si="155"/>
        <v> </v>
      </c>
      <c r="K555" s="122">
        <f t="shared" si="150"/>
        <v>0</v>
      </c>
      <c r="L555" s="122" t="str">
        <f t="shared" si="138"/>
        <v> </v>
      </c>
      <c r="M555" s="122" t="str">
        <f ca="1" t="shared" si="87"/>
        <v>-</v>
      </c>
      <c r="N555" s="112" t="b">
        <f t="shared" si="151"/>
        <v>0</v>
      </c>
      <c r="O555" s="122" t="str">
        <f ca="1">IF(G555&gt;0,IF(N555,"D",OFFSET(Talents!E$2,G555,0))&amp;OFFSET(Talents!F$2,G555,0)," ")</f>
        <v> </v>
      </c>
      <c r="P555" s="122" t="b">
        <f t="shared" si="152"/>
        <v>0</v>
      </c>
      <c r="Q555" s="169">
        <f t="shared" si="147"/>
        <v>0</v>
      </c>
      <c r="R555" s="215"/>
      <c r="S555"/>
      <c r="T555"/>
      <c r="U555" s="214"/>
      <c r="V555" s="214"/>
      <c r="W555" s="169">
        <f t="shared" si="132"/>
        <v>0</v>
      </c>
      <c r="X555" s="168">
        <f t="shared" si="133"/>
        <v>0</v>
      </c>
      <c r="Y555" s="168">
        <f t="shared" si="134"/>
        <v>0</v>
      </c>
      <c r="Z555" s="215">
        <f t="shared" si="135"/>
        <v>0</v>
      </c>
      <c r="AA555" s="169" t="b">
        <f t="shared" si="139"/>
        <v>0</v>
      </c>
      <c r="AB555" s="168" t="b">
        <f t="shared" si="140"/>
        <v>0</v>
      </c>
      <c r="AC555" s="168" t="b">
        <f t="shared" si="141"/>
        <v>0</v>
      </c>
      <c r="AD555" s="215" t="b">
        <f t="shared" si="142"/>
        <v>0</v>
      </c>
      <c r="AI555" s="170" t="str">
        <f t="shared" si="127"/>
        <v> </v>
      </c>
      <c r="AJ555" s="168">
        <f t="shared" si="128"/>
        <v>0</v>
      </c>
      <c r="AK555" s="168">
        <f ca="1" t="shared" si="143"/>
        <v>0</v>
      </c>
      <c r="AL555" s="168">
        <f t="shared" si="156"/>
        <v>0</v>
      </c>
      <c r="AM555" s="215"/>
      <c r="AN555" s="170" t="str">
        <f t="shared" si="129"/>
        <v> </v>
      </c>
      <c r="AO555" s="168">
        <f t="shared" si="130"/>
        <v>0</v>
      </c>
      <c r="AP555" s="168">
        <f ca="1" t="shared" si="96"/>
        <v>0</v>
      </c>
      <c r="AQ555" s="168" t="str">
        <f t="shared" si="131"/>
        <v> </v>
      </c>
      <c r="AR555" s="168">
        <f t="shared" si="136"/>
        <v>0</v>
      </c>
      <c r="AS555" s="215"/>
      <c r="BQ555" s="211">
        <f t="shared" si="108"/>
        <v>57</v>
      </c>
      <c r="BR555" s="249" t="str">
        <f t="shared" si="157"/>
        <v>Sword scabbard</v>
      </c>
      <c r="BS555" s="168">
        <f t="shared" si="158"/>
        <v>0</v>
      </c>
      <c r="BT555" s="168">
        <f t="shared" si="159"/>
        <v>5</v>
      </c>
      <c r="BU555" s="168" t="s">
        <v>2584</v>
      </c>
      <c r="BV555" s="249" t="e">
        <f t="shared" si="124"/>
        <v>#VALUE!</v>
      </c>
      <c r="BW555" s="249" t="str">
        <f t="shared" si="125"/>
        <v>Sword scabbard</v>
      </c>
      <c r="BX555" s="249" t="str">
        <f t="shared" si="105"/>
        <v> </v>
      </c>
      <c r="BY555" s="168">
        <f t="shared" si="109"/>
        <v>0</v>
      </c>
      <c r="BZ555" s="171"/>
    </row>
    <row r="556" spans="2:78" ht="12.75">
      <c r="B556" s="137">
        <v>8</v>
      </c>
      <c r="C556" s="112" t="str">
        <f t="shared" si="148"/>
        <v> </v>
      </c>
      <c r="D556" s="112" t="str">
        <f t="shared" si="153"/>
        <v> </v>
      </c>
      <c r="E556" s="122">
        <f t="shared" si="149"/>
        <v>0</v>
      </c>
      <c r="F556" s="134">
        <f ca="1" t="shared" si="160"/>
        <v>0</v>
      </c>
      <c r="G556" s="122">
        <f>IF(C556&lt;&gt;" ",MATCH(D556,Talents!B$3:B$278,1),0)</f>
        <v>0</v>
      </c>
      <c r="H556" s="122" t="str">
        <f ca="1">IF(G556=0," ",OFFSET(Talents!C$2,G556,0))</f>
        <v> </v>
      </c>
      <c r="I556" s="122" t="str">
        <f ca="1">IF(G556=0," ",OFFSET(Talents!D$2,G556,0))</f>
        <v> </v>
      </c>
      <c r="J556" s="122" t="str">
        <f t="shared" si="155"/>
        <v> </v>
      </c>
      <c r="K556" s="122">
        <f t="shared" si="150"/>
        <v>0</v>
      </c>
      <c r="L556" s="122" t="str">
        <f t="shared" si="138"/>
        <v> </v>
      </c>
      <c r="M556" s="122" t="str">
        <f ca="1" t="shared" si="87"/>
        <v>-</v>
      </c>
      <c r="N556" s="112" t="b">
        <f t="shared" si="151"/>
        <v>0</v>
      </c>
      <c r="O556" s="122" t="str">
        <f ca="1">IF(G556&gt;0,IF(N556,"D",OFFSET(Talents!E$2,G556,0))&amp;OFFSET(Talents!F$2,G556,0)," ")</f>
        <v> </v>
      </c>
      <c r="P556" s="122" t="b">
        <f t="shared" si="152"/>
        <v>0</v>
      </c>
      <c r="Q556" s="169">
        <f t="shared" si="147"/>
        <v>0</v>
      </c>
      <c r="R556" s="215"/>
      <c r="S556"/>
      <c r="T556"/>
      <c r="U556" s="214"/>
      <c r="V556" s="214"/>
      <c r="W556" s="169">
        <f t="shared" si="132"/>
        <v>0</v>
      </c>
      <c r="X556" s="168">
        <f t="shared" si="133"/>
        <v>0</v>
      </c>
      <c r="Y556" s="168">
        <f t="shared" si="134"/>
        <v>0</v>
      </c>
      <c r="Z556" s="215">
        <f t="shared" si="135"/>
        <v>0</v>
      </c>
      <c r="AA556" s="169" t="b">
        <f t="shared" si="139"/>
        <v>0</v>
      </c>
      <c r="AB556" s="168" t="b">
        <f t="shared" si="140"/>
        <v>0</v>
      </c>
      <c r="AC556" s="168" t="b">
        <f t="shared" si="141"/>
        <v>0</v>
      </c>
      <c r="AD556" s="215" t="b">
        <f t="shared" si="142"/>
        <v>0</v>
      </c>
      <c r="AI556" s="170" t="str">
        <f aca="true" t="shared" si="161" ref="AI556:AI587">D531</f>
        <v> </v>
      </c>
      <c r="AJ556" s="168">
        <f aca="true" t="shared" si="162" ref="AJ556:AJ587">K531</f>
        <v>0</v>
      </c>
      <c r="AK556" s="168">
        <f ca="1" t="shared" si="143"/>
        <v>0</v>
      </c>
      <c r="AL556" s="168">
        <f t="shared" si="156"/>
        <v>0</v>
      </c>
      <c r="AM556" s="215"/>
      <c r="AN556" s="170" t="str">
        <f t="shared" si="129"/>
        <v> </v>
      </c>
      <c r="AO556" s="168">
        <f t="shared" si="130"/>
        <v>0</v>
      </c>
      <c r="AP556" s="168">
        <f ca="1" t="shared" si="96"/>
        <v>0</v>
      </c>
      <c r="AQ556" s="168" t="str">
        <f t="shared" si="131"/>
        <v> </v>
      </c>
      <c r="AR556" s="168">
        <f t="shared" si="136"/>
        <v>0</v>
      </c>
      <c r="AS556" s="215"/>
      <c r="BQ556" s="211">
        <f t="shared" si="108"/>
        <v>58</v>
      </c>
      <c r="BR556" s="249" t="str">
        <f t="shared" si="157"/>
        <v>Toga</v>
      </c>
      <c r="BS556" s="168">
        <f t="shared" si="158"/>
        <v>0</v>
      </c>
      <c r="BT556" s="168">
        <f t="shared" si="159"/>
        <v>0.6</v>
      </c>
      <c r="BU556" s="168" t="s">
        <v>2584</v>
      </c>
      <c r="BV556" s="249" t="e">
        <f t="shared" si="124"/>
        <v>#VALUE!</v>
      </c>
      <c r="BW556" s="249" t="str">
        <f t="shared" si="125"/>
        <v>Toga</v>
      </c>
      <c r="BX556" s="249" t="str">
        <f t="shared" si="105"/>
        <v> </v>
      </c>
      <c r="BY556" s="168">
        <f t="shared" si="109"/>
        <v>0</v>
      </c>
      <c r="BZ556" s="171"/>
    </row>
    <row r="557" spans="2:78" ht="12.75">
      <c r="B557" s="137">
        <v>8</v>
      </c>
      <c r="C557" s="112" t="str">
        <f t="shared" si="148"/>
        <v> </v>
      </c>
      <c r="D557" s="112" t="str">
        <f t="shared" si="153"/>
        <v> </v>
      </c>
      <c r="E557" s="122">
        <f t="shared" si="149"/>
        <v>0</v>
      </c>
      <c r="F557" s="134">
        <f ca="1" t="shared" si="160"/>
        <v>0</v>
      </c>
      <c r="G557" s="122">
        <f>IF(C557&lt;&gt;" ",MATCH(D557,Talents!B$3:B$278,1),0)</f>
        <v>0</v>
      </c>
      <c r="H557" s="122" t="str">
        <f ca="1">IF(G557=0," ",OFFSET(Talents!C$2,G557,0))</f>
        <v> </v>
      </c>
      <c r="I557" s="122" t="str">
        <f ca="1">IF(G557=0," ",OFFSET(Talents!D$2,G557,0))</f>
        <v> </v>
      </c>
      <c r="J557" s="122" t="str">
        <f t="shared" si="155"/>
        <v> </v>
      </c>
      <c r="K557" s="122">
        <f t="shared" si="150"/>
        <v>0</v>
      </c>
      <c r="L557" s="122" t="str">
        <f t="shared" si="138"/>
        <v> </v>
      </c>
      <c r="M557" s="122" t="str">
        <f ca="1" t="shared" si="87"/>
        <v>-</v>
      </c>
      <c r="N557" s="112" t="b">
        <f t="shared" si="151"/>
        <v>0</v>
      </c>
      <c r="O557" s="122" t="str">
        <f ca="1">IF(G557&gt;0,IF(N557,"D",OFFSET(Talents!E$2,G557,0))&amp;OFFSET(Talents!F$2,G557,0)," ")</f>
        <v> </v>
      </c>
      <c r="P557" s="122" t="b">
        <f t="shared" si="152"/>
        <v>0</v>
      </c>
      <c r="Q557" s="169">
        <f t="shared" si="147"/>
        <v>0</v>
      </c>
      <c r="R557" s="215"/>
      <c r="S557"/>
      <c r="T557"/>
      <c r="U557" s="214"/>
      <c r="V557" s="214"/>
      <c r="W557" s="169">
        <f t="shared" si="132"/>
        <v>0</v>
      </c>
      <c r="X557" s="168">
        <f t="shared" si="133"/>
        <v>0</v>
      </c>
      <c r="Y557" s="168">
        <f t="shared" si="134"/>
        <v>0</v>
      </c>
      <c r="Z557" s="215">
        <f t="shared" si="135"/>
        <v>0</v>
      </c>
      <c r="AA557" s="169" t="b">
        <f t="shared" si="139"/>
        <v>0</v>
      </c>
      <c r="AB557" s="168" t="b">
        <f t="shared" si="140"/>
        <v>0</v>
      </c>
      <c r="AC557" s="168" t="b">
        <f t="shared" si="141"/>
        <v>0</v>
      </c>
      <c r="AD557" s="215" t="b">
        <f t="shared" si="142"/>
        <v>0</v>
      </c>
      <c r="AI557" s="170" t="str">
        <f t="shared" si="161"/>
        <v> </v>
      </c>
      <c r="AJ557" s="168">
        <f t="shared" si="162"/>
        <v>0</v>
      </c>
      <c r="AK557" s="168">
        <f ca="1" t="shared" si="143"/>
        <v>0</v>
      </c>
      <c r="AL557" s="168">
        <f t="shared" si="156"/>
        <v>0</v>
      </c>
      <c r="AM557" s="215"/>
      <c r="AN557" s="170" t="str">
        <f t="shared" si="129"/>
        <v> </v>
      </c>
      <c r="AO557" s="168">
        <f t="shared" si="130"/>
        <v>0</v>
      </c>
      <c r="AP557" s="168">
        <f ca="1" t="shared" si="96"/>
        <v>0</v>
      </c>
      <c r="AQ557" s="168" t="str">
        <f t="shared" si="131"/>
        <v> </v>
      </c>
      <c r="AR557" s="168">
        <f t="shared" si="136"/>
        <v>0</v>
      </c>
      <c r="AS557" s="215"/>
      <c r="BQ557" s="211">
        <f t="shared" si="108"/>
        <v>59</v>
      </c>
      <c r="BR557" s="249" t="str">
        <f t="shared" si="157"/>
        <v>Tunic</v>
      </c>
      <c r="BS557" s="168">
        <f t="shared" si="158"/>
        <v>0</v>
      </c>
      <c r="BT557" s="168">
        <f t="shared" si="159"/>
        <v>0.4</v>
      </c>
      <c r="BU557" s="168" t="s">
        <v>2584</v>
      </c>
      <c r="BV557" s="249" t="e">
        <f t="shared" si="124"/>
        <v>#VALUE!</v>
      </c>
      <c r="BW557" s="249" t="str">
        <f t="shared" si="125"/>
        <v>Tunic</v>
      </c>
      <c r="BX557" s="249" t="str">
        <f t="shared" si="105"/>
        <v> </v>
      </c>
      <c r="BY557" s="168">
        <f t="shared" si="109"/>
        <v>0</v>
      </c>
      <c r="BZ557" s="171"/>
    </row>
    <row r="558" spans="2:78" ht="12.75">
      <c r="B558" s="137">
        <v>9</v>
      </c>
      <c r="C558" s="112" t="str">
        <f t="shared" si="148"/>
        <v> </v>
      </c>
      <c r="D558" s="112" t="str">
        <f t="shared" si="153"/>
        <v> </v>
      </c>
      <c r="E558" s="122">
        <f t="shared" si="149"/>
        <v>0</v>
      </c>
      <c r="F558" s="134">
        <f ca="1">OFFSET(Cost_9_12,E558,0)</f>
        <v>0</v>
      </c>
      <c r="G558" s="122">
        <f>IF(C558&lt;&gt;" ",MATCH(D558,Talents!B$3:B$278,1),0)</f>
        <v>0</v>
      </c>
      <c r="H558" s="122" t="str">
        <f ca="1">IF(G558=0," ",OFFSET(Talents!C$2,G558,0))</f>
        <v> </v>
      </c>
      <c r="I558" s="122" t="str">
        <f ca="1">IF(G558=0," ",OFFSET(Talents!D$2,G558,0))</f>
        <v> </v>
      </c>
      <c r="J558" s="122" t="str">
        <f t="shared" si="155"/>
        <v> </v>
      </c>
      <c r="K558" s="122">
        <f t="shared" si="150"/>
        <v>0</v>
      </c>
      <c r="L558" s="122" t="str">
        <f t="shared" si="138"/>
        <v> </v>
      </c>
      <c r="M558" s="122" t="str">
        <f ca="1" t="shared" si="87"/>
        <v>-</v>
      </c>
      <c r="N558" s="112" t="b">
        <f t="shared" si="151"/>
        <v>0</v>
      </c>
      <c r="O558" s="122" t="str">
        <f ca="1">IF(G558&gt;0,IF(N558,"D",OFFSET(Talents!E$2,G558,0))&amp;OFFSET(Talents!F$2,G558,0)," ")</f>
        <v> </v>
      </c>
      <c r="P558" s="122" t="b">
        <f t="shared" si="152"/>
        <v>0</v>
      </c>
      <c r="Q558" s="169">
        <f t="shared" si="147"/>
        <v>0</v>
      </c>
      <c r="R558" s="215"/>
      <c r="S558"/>
      <c r="T558"/>
      <c r="U558" s="214"/>
      <c r="V558" s="214"/>
      <c r="W558" s="169">
        <f t="shared" si="132"/>
        <v>0</v>
      </c>
      <c r="X558" s="168">
        <f t="shared" si="133"/>
        <v>0</v>
      </c>
      <c r="Y558" s="168">
        <f t="shared" si="134"/>
        <v>0</v>
      </c>
      <c r="Z558" s="215">
        <f t="shared" si="135"/>
        <v>0</v>
      </c>
      <c r="AA558" s="169" t="b">
        <f t="shared" si="139"/>
        <v>0</v>
      </c>
      <c r="AB558" s="168" t="b">
        <f t="shared" si="140"/>
        <v>0</v>
      </c>
      <c r="AC558" s="168" t="b">
        <f t="shared" si="141"/>
        <v>0</v>
      </c>
      <c r="AD558" s="215" t="b">
        <f t="shared" si="142"/>
        <v>0</v>
      </c>
      <c r="AI558" s="170" t="str">
        <f t="shared" si="161"/>
        <v> </v>
      </c>
      <c r="AJ558" s="168">
        <f t="shared" si="162"/>
        <v>0</v>
      </c>
      <c r="AK558" s="168">
        <f ca="1" t="shared" si="143"/>
        <v>0</v>
      </c>
      <c r="AL558" s="168">
        <f t="shared" si="156"/>
        <v>0</v>
      </c>
      <c r="AM558" s="215"/>
      <c r="AN558" s="170" t="str">
        <f t="shared" si="129"/>
        <v> </v>
      </c>
      <c r="AO558" s="168">
        <f t="shared" si="130"/>
        <v>0</v>
      </c>
      <c r="AP558" s="168">
        <f ca="1" t="shared" si="96"/>
        <v>0</v>
      </c>
      <c r="AQ558" s="168" t="str">
        <f t="shared" si="131"/>
        <v> </v>
      </c>
      <c r="AR558" s="168">
        <f t="shared" si="136"/>
        <v>0</v>
      </c>
      <c r="AS558" s="215"/>
      <c r="BQ558" s="211">
        <f t="shared" si="108"/>
        <v>60</v>
      </c>
      <c r="BR558" s="249">
        <f t="shared" si="157"/>
        <v>0</v>
      </c>
      <c r="BS558" s="168">
        <f t="shared" si="158"/>
        <v>0</v>
      </c>
      <c r="BT558" s="168">
        <f t="shared" si="159"/>
        <v>0</v>
      </c>
      <c r="BU558" s="168" t="s">
        <v>2584</v>
      </c>
      <c r="BV558" s="249" t="e">
        <f t="shared" si="124"/>
        <v>#VALUE!</v>
      </c>
      <c r="BW558" s="249" t="str">
        <f t="shared" si="125"/>
        <v>0</v>
      </c>
      <c r="BX558" s="249" t="str">
        <f t="shared" si="105"/>
        <v> </v>
      </c>
      <c r="BY558" s="168">
        <f t="shared" si="109"/>
        <v>0</v>
      </c>
      <c r="BZ558" s="171"/>
    </row>
    <row r="559" spans="2:78" ht="12.75">
      <c r="B559" s="137">
        <v>9</v>
      </c>
      <c r="C559" s="112" t="str">
        <f t="shared" si="148"/>
        <v> </v>
      </c>
      <c r="D559" s="112" t="str">
        <f t="shared" si="153"/>
        <v> </v>
      </c>
      <c r="E559" s="122">
        <f t="shared" si="149"/>
        <v>0</v>
      </c>
      <c r="F559" s="134">
        <f aca="true" ca="1" t="shared" si="163" ref="F559:F566">OFFSET(Cost_9_12,E559,0)</f>
        <v>0</v>
      </c>
      <c r="G559" s="122">
        <f>IF(C559&lt;&gt;" ",MATCH(D559,Talents!B$3:B$278,1),0)</f>
        <v>0</v>
      </c>
      <c r="H559" s="122" t="str">
        <f ca="1">IF(G559=0," ",OFFSET(Talents!C$2,G559,0))</f>
        <v> </v>
      </c>
      <c r="I559" s="122" t="str">
        <f ca="1">IF(G559=0," ",OFFSET(Talents!D$2,G559,0))</f>
        <v> </v>
      </c>
      <c r="J559" s="122" t="str">
        <f t="shared" si="155"/>
        <v> </v>
      </c>
      <c r="K559" s="122">
        <f t="shared" si="150"/>
        <v>0</v>
      </c>
      <c r="L559" s="122" t="str">
        <f t="shared" si="138"/>
        <v> </v>
      </c>
      <c r="M559" s="122" t="str">
        <f ca="1" t="shared" si="87"/>
        <v>-</v>
      </c>
      <c r="N559" s="112" t="b">
        <f t="shared" si="151"/>
        <v>0</v>
      </c>
      <c r="O559" s="122" t="str">
        <f ca="1">IF(G559&gt;0,IF(N559,"D",OFFSET(Talents!E$2,G559,0))&amp;OFFSET(Talents!F$2,G559,0)," ")</f>
        <v> </v>
      </c>
      <c r="P559" s="122" t="b">
        <f t="shared" si="152"/>
        <v>0</v>
      </c>
      <c r="Q559" s="169">
        <f t="shared" si="147"/>
        <v>0</v>
      </c>
      <c r="R559" s="215"/>
      <c r="S559"/>
      <c r="T559"/>
      <c r="U559" s="214"/>
      <c r="V559" s="214"/>
      <c r="W559" s="169">
        <f aca="true" t="shared" si="164" ref="W559:W588">W558+IF(N336&lt;&gt;"",1,0)</f>
        <v>0</v>
      </c>
      <c r="X559" s="168">
        <f aca="true" t="shared" si="165" ref="X559:X588">X558+IF(N368&lt;&gt;"",1,0)</f>
        <v>0</v>
      </c>
      <c r="Y559" s="168">
        <f aca="true" t="shared" si="166" ref="Y559:Y588">Y558+IF(N400&lt;&gt;"",1,0)</f>
        <v>0</v>
      </c>
      <c r="Z559" s="215">
        <f aca="true" t="shared" si="167" ref="Z559:Z588">Z558+IF(N432&lt;&gt;"",1,0)</f>
        <v>0</v>
      </c>
      <c r="AA559" s="169" t="b">
        <f t="shared" si="139"/>
        <v>0</v>
      </c>
      <c r="AB559" s="168" t="b">
        <f t="shared" si="140"/>
        <v>0</v>
      </c>
      <c r="AC559" s="168" t="b">
        <f t="shared" si="141"/>
        <v>0</v>
      </c>
      <c r="AD559" s="215" t="b">
        <f t="shared" si="142"/>
        <v>0</v>
      </c>
      <c r="AI559" s="170" t="str">
        <f t="shared" si="161"/>
        <v> </v>
      </c>
      <c r="AJ559" s="168">
        <f t="shared" si="162"/>
        <v>0</v>
      </c>
      <c r="AK559" s="168">
        <f ca="1" t="shared" si="143"/>
        <v>0</v>
      </c>
      <c r="AL559" s="168">
        <f t="shared" si="156"/>
        <v>0</v>
      </c>
      <c r="AM559" s="215"/>
      <c r="AN559" s="170" t="str">
        <f aca="true" t="shared" si="168" ref="AN559:AN590">T73</f>
        <v>Air Sailing</v>
      </c>
      <c r="AO559" s="168">
        <f aca="true" t="shared" si="169" ref="AO559:AO590">W73</f>
        <v>0</v>
      </c>
      <c r="AP559" s="168">
        <f aca="true" ca="1" t="shared" si="170" ref="AP559:AP607">OFFSET(CostSkill,AO559,0)</f>
        <v>0</v>
      </c>
      <c r="AQ559" s="168" t="str">
        <f aca="true" t="shared" si="171" ref="AQ559:AQ590">X73</f>
        <v>W</v>
      </c>
      <c r="AR559" s="168">
        <f>AR558+IF(AND(AN559&lt;&gt;" ",AO559&gt;0),1,0)</f>
        <v>0</v>
      </c>
      <c r="AS559" s="215"/>
      <c r="BQ559" s="211">
        <f t="shared" si="108"/>
        <v>61</v>
      </c>
      <c r="BR559" s="249">
        <f t="shared" si="157"/>
        <v>0</v>
      </c>
      <c r="BS559" s="168">
        <f t="shared" si="158"/>
        <v>0</v>
      </c>
      <c r="BT559" s="168">
        <f t="shared" si="159"/>
        <v>0</v>
      </c>
      <c r="BU559" s="168" t="s">
        <v>2584</v>
      </c>
      <c r="BV559" s="249" t="e">
        <f t="shared" si="124"/>
        <v>#VALUE!</v>
      </c>
      <c r="BW559" s="249" t="str">
        <f t="shared" si="125"/>
        <v>0</v>
      </c>
      <c r="BX559" s="249" t="str">
        <f t="shared" si="105"/>
        <v> </v>
      </c>
      <c r="BY559" s="168">
        <f t="shared" si="109"/>
        <v>0</v>
      </c>
      <c r="BZ559" s="171"/>
    </row>
    <row r="560" spans="2:78" ht="12.75">
      <c r="B560" s="137">
        <v>9</v>
      </c>
      <c r="C560" s="112" t="str">
        <f t="shared" si="148"/>
        <v> </v>
      </c>
      <c r="D560" s="112" t="str">
        <f t="shared" si="153"/>
        <v> </v>
      </c>
      <c r="E560" s="122">
        <f t="shared" si="149"/>
        <v>0</v>
      </c>
      <c r="F560" s="134">
        <f ca="1" t="shared" si="163"/>
        <v>0</v>
      </c>
      <c r="G560" s="122">
        <f>IF(C560&lt;&gt;" ",MATCH(D560,Talents!B$3:B$278,1),0)</f>
        <v>0</v>
      </c>
      <c r="H560" s="122" t="str">
        <f ca="1">IF(G560=0," ",OFFSET(Talents!C$2,G560,0))</f>
        <v> </v>
      </c>
      <c r="I560" s="122" t="str">
        <f ca="1">IF(G560=0," ",OFFSET(Talents!D$2,G560,0))</f>
        <v> </v>
      </c>
      <c r="J560" s="122" t="str">
        <f t="shared" si="155"/>
        <v> </v>
      </c>
      <c r="K560" s="122">
        <f t="shared" si="150"/>
        <v>0</v>
      </c>
      <c r="L560" s="122" t="str">
        <f t="shared" si="138"/>
        <v> </v>
      </c>
      <c r="M560" s="122" t="str">
        <f ca="1" t="shared" si="87"/>
        <v>-</v>
      </c>
      <c r="N560" s="112" t="b">
        <f t="shared" si="151"/>
        <v>0</v>
      </c>
      <c r="O560" s="122" t="str">
        <f ca="1">IF(G560&gt;0,IF(N560,"D",OFFSET(Talents!E$2,G560,0))&amp;OFFSET(Talents!F$2,G560,0)," ")</f>
        <v> </v>
      </c>
      <c r="P560" s="122" t="b">
        <f t="shared" si="152"/>
        <v>0</v>
      </c>
      <c r="Q560" s="169">
        <f t="shared" si="147"/>
        <v>0</v>
      </c>
      <c r="R560" s="215"/>
      <c r="S560"/>
      <c r="T560"/>
      <c r="U560" s="214"/>
      <c r="V560" s="214"/>
      <c r="W560" s="169">
        <f t="shared" si="164"/>
        <v>0</v>
      </c>
      <c r="X560" s="168">
        <f t="shared" si="165"/>
        <v>0</v>
      </c>
      <c r="Y560" s="168">
        <f t="shared" si="166"/>
        <v>0</v>
      </c>
      <c r="Z560" s="215">
        <f t="shared" si="167"/>
        <v>0</v>
      </c>
      <c r="AA560" s="169" t="b">
        <f t="shared" si="139"/>
        <v>0</v>
      </c>
      <c r="AB560" s="168" t="b">
        <f t="shared" si="140"/>
        <v>0</v>
      </c>
      <c r="AC560" s="168" t="b">
        <f t="shared" si="141"/>
        <v>0</v>
      </c>
      <c r="AD560" s="215" t="b">
        <f t="shared" si="142"/>
        <v>0</v>
      </c>
      <c r="AI560" s="170" t="str">
        <f t="shared" si="161"/>
        <v> </v>
      </c>
      <c r="AJ560" s="168">
        <f t="shared" si="162"/>
        <v>0</v>
      </c>
      <c r="AK560" s="168">
        <f ca="1" t="shared" si="143"/>
        <v>0</v>
      </c>
      <c r="AL560" s="168">
        <f t="shared" si="156"/>
        <v>0</v>
      </c>
      <c r="AM560" s="215"/>
      <c r="AN560" s="170" t="str">
        <f t="shared" si="168"/>
        <v>Air Tracking</v>
      </c>
      <c r="AO560" s="168">
        <f t="shared" si="169"/>
        <v>0</v>
      </c>
      <c r="AP560" s="168">
        <f ca="1" t="shared" si="170"/>
        <v>0</v>
      </c>
      <c r="AQ560" s="168" t="str">
        <f t="shared" si="171"/>
        <v>P</v>
      </c>
      <c r="AR560" s="168">
        <f aca="true" t="shared" si="172" ref="AR560:AR579">AR559+IF(AND(AN560&lt;&gt;" ",AO560&gt;0),1,0)</f>
        <v>0</v>
      </c>
      <c r="AS560" s="215"/>
      <c r="BQ560" s="211">
        <f t="shared" si="108"/>
        <v>62</v>
      </c>
      <c r="BR560" s="249">
        <f t="shared" si="157"/>
        <v>0</v>
      </c>
      <c r="BS560" s="168">
        <f t="shared" si="158"/>
        <v>0</v>
      </c>
      <c r="BT560" s="168">
        <f t="shared" si="159"/>
        <v>0</v>
      </c>
      <c r="BU560" s="168" t="s">
        <v>2584</v>
      </c>
      <c r="BV560" s="249" t="e">
        <f t="shared" si="124"/>
        <v>#VALUE!</v>
      </c>
      <c r="BW560" s="249" t="str">
        <f t="shared" si="125"/>
        <v>0</v>
      </c>
      <c r="BX560" s="249" t="str">
        <f t="shared" si="105"/>
        <v> </v>
      </c>
      <c r="BY560" s="168">
        <f t="shared" si="109"/>
        <v>0</v>
      </c>
      <c r="BZ560" s="171"/>
    </row>
    <row r="561" spans="2:78" ht="12.75">
      <c r="B561" s="137">
        <v>10</v>
      </c>
      <c r="C561" s="112" t="str">
        <f t="shared" si="148"/>
        <v> </v>
      </c>
      <c r="D561" s="112" t="str">
        <f t="shared" si="153"/>
        <v> </v>
      </c>
      <c r="E561" s="122">
        <f t="shared" si="149"/>
        <v>0</v>
      </c>
      <c r="F561" s="134">
        <f ca="1" t="shared" si="163"/>
        <v>0</v>
      </c>
      <c r="G561" s="122">
        <f>IF(C561&lt;&gt;" ",MATCH(D561,Talents!B$3:B$278,1),0)</f>
        <v>0</v>
      </c>
      <c r="H561" s="122" t="str">
        <f ca="1">IF(G561=0," ",OFFSET(Talents!C$2,G561,0))</f>
        <v> </v>
      </c>
      <c r="I561" s="122" t="str">
        <f ca="1">IF(G561=0," ",OFFSET(Talents!D$2,G561,0))</f>
        <v> </v>
      </c>
      <c r="J561" s="122" t="str">
        <f t="shared" si="155"/>
        <v> </v>
      </c>
      <c r="K561" s="122">
        <f t="shared" si="150"/>
        <v>0</v>
      </c>
      <c r="L561" s="122" t="str">
        <f t="shared" si="138"/>
        <v> </v>
      </c>
      <c r="M561" s="122" t="str">
        <f ca="1" t="shared" si="87"/>
        <v>-</v>
      </c>
      <c r="N561" s="112" t="b">
        <f t="shared" si="151"/>
        <v>0</v>
      </c>
      <c r="O561" s="122" t="str">
        <f ca="1">IF(G561&gt;0,IF(N561,"D",OFFSET(Talents!E$2,G561,0))&amp;OFFSET(Talents!F$2,G561,0)," ")</f>
        <v> </v>
      </c>
      <c r="P561" s="122" t="b">
        <f t="shared" si="152"/>
        <v>0</v>
      </c>
      <c r="Q561" s="169">
        <f t="shared" si="147"/>
        <v>0</v>
      </c>
      <c r="R561" s="215"/>
      <c r="S561"/>
      <c r="T561"/>
      <c r="U561" s="214"/>
      <c r="V561" s="214"/>
      <c r="W561" s="169">
        <f t="shared" si="164"/>
        <v>0</v>
      </c>
      <c r="X561" s="168">
        <f t="shared" si="165"/>
        <v>0</v>
      </c>
      <c r="Y561" s="168">
        <f t="shared" si="166"/>
        <v>0</v>
      </c>
      <c r="Z561" s="215">
        <f t="shared" si="167"/>
        <v>0</v>
      </c>
      <c r="AA561" s="169" t="b">
        <f t="shared" si="139"/>
        <v>0</v>
      </c>
      <c r="AB561" s="168" t="b">
        <f t="shared" si="140"/>
        <v>0</v>
      </c>
      <c r="AC561" s="168" t="b">
        <f t="shared" si="141"/>
        <v>0</v>
      </c>
      <c r="AD561" s="215" t="b">
        <f t="shared" si="142"/>
        <v>0</v>
      </c>
      <c r="AI561" s="170" t="str">
        <f t="shared" si="161"/>
        <v> </v>
      </c>
      <c r="AJ561" s="168">
        <f t="shared" si="162"/>
        <v>0</v>
      </c>
      <c r="AK561" s="168">
        <f aca="true" ca="1" t="shared" si="173" ref="AK561:AK613">OFFSET(Cost_5_8,AJ561,0)</f>
        <v>0</v>
      </c>
      <c r="AL561" s="168">
        <f t="shared" si="156"/>
        <v>0</v>
      </c>
      <c r="AM561" s="215"/>
      <c r="AN561" s="170" t="str">
        <f t="shared" si="168"/>
        <v>Animal Bond</v>
      </c>
      <c r="AO561" s="168">
        <f t="shared" si="169"/>
        <v>0</v>
      </c>
      <c r="AP561" s="168">
        <f ca="1" t="shared" si="170"/>
        <v>0</v>
      </c>
      <c r="AQ561" s="168" t="str">
        <f t="shared" si="171"/>
        <v>C</v>
      </c>
      <c r="AR561" s="168">
        <f t="shared" si="172"/>
        <v>0</v>
      </c>
      <c r="AS561" s="215"/>
      <c r="BQ561" s="211">
        <f t="shared" si="108"/>
        <v>63</v>
      </c>
      <c r="BR561" s="249">
        <f t="shared" si="157"/>
        <v>0</v>
      </c>
      <c r="BS561" s="168">
        <f t="shared" si="158"/>
        <v>0</v>
      </c>
      <c r="BT561" s="168">
        <f t="shared" si="159"/>
        <v>0</v>
      </c>
      <c r="BU561" s="168" t="s">
        <v>2584</v>
      </c>
      <c r="BV561" s="249" t="e">
        <f t="shared" si="124"/>
        <v>#VALUE!</v>
      </c>
      <c r="BW561" s="249" t="str">
        <f t="shared" si="125"/>
        <v>0</v>
      </c>
      <c r="BX561" s="249" t="str">
        <f t="shared" si="105"/>
        <v> </v>
      </c>
      <c r="BY561" s="168">
        <f t="shared" si="109"/>
        <v>0</v>
      </c>
      <c r="BZ561" s="171"/>
    </row>
    <row r="562" spans="2:78" ht="12.75">
      <c r="B562" s="137">
        <v>10</v>
      </c>
      <c r="C562" s="112" t="str">
        <f t="shared" si="148"/>
        <v> </v>
      </c>
      <c r="D562" s="112" t="str">
        <f t="shared" si="153"/>
        <v> </v>
      </c>
      <c r="E562" s="122">
        <f t="shared" si="149"/>
        <v>0</v>
      </c>
      <c r="F562" s="134">
        <f ca="1" t="shared" si="163"/>
        <v>0</v>
      </c>
      <c r="G562" s="122">
        <f>IF(C562&lt;&gt;" ",MATCH(D562,Talents!B$3:B$278,1),0)</f>
        <v>0</v>
      </c>
      <c r="H562" s="122" t="str">
        <f ca="1">IF(G562=0," ",OFFSET(Talents!C$2,G562,0))</f>
        <v> </v>
      </c>
      <c r="I562" s="122" t="str">
        <f ca="1">IF(G562=0," ",OFFSET(Talents!D$2,G562,0))</f>
        <v> </v>
      </c>
      <c r="J562" s="122" t="str">
        <f t="shared" si="155"/>
        <v> </v>
      </c>
      <c r="K562" s="122">
        <f t="shared" si="150"/>
        <v>0</v>
      </c>
      <c r="L562" s="122" t="str">
        <f t="shared" si="138"/>
        <v> </v>
      </c>
      <c r="M562" s="122" t="str">
        <f ca="1" t="shared" si="87"/>
        <v>-</v>
      </c>
      <c r="N562" s="112" t="b">
        <f t="shared" si="151"/>
        <v>0</v>
      </c>
      <c r="O562" s="122" t="str">
        <f ca="1">IF(G562&gt;0,IF(N562,"D",OFFSET(Talents!E$2,G562,0))&amp;OFFSET(Talents!F$2,G562,0)," ")</f>
        <v> </v>
      </c>
      <c r="P562" s="122" t="b">
        <f t="shared" si="152"/>
        <v>0</v>
      </c>
      <c r="Q562" s="169">
        <f t="shared" si="147"/>
        <v>0</v>
      </c>
      <c r="R562" s="215"/>
      <c r="S562"/>
      <c r="T562"/>
      <c r="U562" s="214"/>
      <c r="V562" s="214"/>
      <c r="W562" s="169">
        <f t="shared" si="164"/>
        <v>0</v>
      </c>
      <c r="X562" s="168">
        <f t="shared" si="165"/>
        <v>0</v>
      </c>
      <c r="Y562" s="168">
        <f t="shared" si="166"/>
        <v>0</v>
      </c>
      <c r="Z562" s="215">
        <f t="shared" si="167"/>
        <v>0</v>
      </c>
      <c r="AA562" s="169" t="b">
        <f t="shared" si="139"/>
        <v>0</v>
      </c>
      <c r="AB562" s="168" t="b">
        <f t="shared" si="140"/>
        <v>0</v>
      </c>
      <c r="AC562" s="168" t="b">
        <f t="shared" si="141"/>
        <v>0</v>
      </c>
      <c r="AD562" s="215" t="b">
        <f t="shared" si="142"/>
        <v>0</v>
      </c>
      <c r="AI562" s="170" t="str">
        <f t="shared" si="161"/>
        <v> </v>
      </c>
      <c r="AJ562" s="168">
        <f t="shared" si="162"/>
        <v>0</v>
      </c>
      <c r="AK562" s="168">
        <f ca="1" t="shared" si="173"/>
        <v>0</v>
      </c>
      <c r="AL562" s="168">
        <f t="shared" si="156"/>
        <v>0</v>
      </c>
      <c r="AM562" s="215"/>
      <c r="AN562" s="170" t="str">
        <f t="shared" si="168"/>
        <v>Animal Training</v>
      </c>
      <c r="AO562" s="168">
        <f t="shared" si="169"/>
        <v>0</v>
      </c>
      <c r="AP562" s="168">
        <f ca="1" t="shared" si="170"/>
        <v>0</v>
      </c>
      <c r="AQ562" s="168" t="str">
        <f t="shared" si="171"/>
        <v>C</v>
      </c>
      <c r="AR562" s="168">
        <f t="shared" si="172"/>
        <v>0</v>
      </c>
      <c r="AS562" s="215"/>
      <c r="BQ562" s="211">
        <f t="shared" si="108"/>
        <v>64</v>
      </c>
      <c r="BR562" s="249">
        <f t="shared" si="157"/>
        <v>0</v>
      </c>
      <c r="BS562" s="168">
        <f t="shared" si="158"/>
        <v>0</v>
      </c>
      <c r="BT562" s="168">
        <f t="shared" si="159"/>
        <v>0</v>
      </c>
      <c r="BU562" s="168" t="s">
        <v>2584</v>
      </c>
      <c r="BV562" s="249" t="e">
        <f t="shared" si="124"/>
        <v>#VALUE!</v>
      </c>
      <c r="BW562" s="249" t="str">
        <f t="shared" si="125"/>
        <v>0</v>
      </c>
      <c r="BX562" s="249" t="str">
        <f t="shared" si="105"/>
        <v> </v>
      </c>
      <c r="BY562" s="168">
        <f t="shared" si="109"/>
        <v>0</v>
      </c>
      <c r="BZ562" s="171"/>
    </row>
    <row r="563" spans="2:78" ht="12.75">
      <c r="B563" s="137">
        <v>11</v>
      </c>
      <c r="C563" s="112" t="str">
        <f t="shared" si="148"/>
        <v> </v>
      </c>
      <c r="D563" s="112" t="str">
        <f t="shared" si="153"/>
        <v> </v>
      </c>
      <c r="E563" s="122">
        <f t="shared" si="149"/>
        <v>0</v>
      </c>
      <c r="F563" s="134">
        <f ca="1" t="shared" si="163"/>
        <v>0</v>
      </c>
      <c r="G563" s="122">
        <f>IF(C563&lt;&gt;" ",MATCH(D563,Talents!B$3:B$278,1),0)</f>
        <v>0</v>
      </c>
      <c r="H563" s="122" t="str">
        <f ca="1">IF(G563=0," ",OFFSET(Talents!C$2,G563,0))</f>
        <v> </v>
      </c>
      <c r="I563" s="122" t="str">
        <f ca="1">IF(G563=0," ",OFFSET(Talents!D$2,G563,0))</f>
        <v> </v>
      </c>
      <c r="J563" s="122" t="str">
        <f t="shared" si="155"/>
        <v> </v>
      </c>
      <c r="K563" s="122">
        <f t="shared" si="150"/>
        <v>0</v>
      </c>
      <c r="L563" s="122" t="str">
        <f aca="true" t="shared" si="174" ref="L563:L588">IF(H563&lt;&gt;" ",E563+I563+VLOOKUP(H563,G$481:L$486,6,0)+K563," ")</f>
        <v> </v>
      </c>
      <c r="M563" s="122" t="str">
        <f ca="1" t="shared" si="87"/>
        <v>-</v>
      </c>
      <c r="N563" s="112" t="b">
        <f t="shared" si="151"/>
        <v>0</v>
      </c>
      <c r="O563" s="122" t="str">
        <f ca="1">IF(G563&gt;0,IF(N563,"D",OFFSET(Talents!E$2,G563,0))&amp;OFFSET(Talents!F$2,G563,0)," ")</f>
        <v> </v>
      </c>
      <c r="P563" s="122" t="b">
        <f t="shared" si="152"/>
        <v>0</v>
      </c>
      <c r="Q563" s="169">
        <f t="shared" si="147"/>
        <v>0</v>
      </c>
      <c r="R563" s="215"/>
      <c r="S563"/>
      <c r="T563"/>
      <c r="U563" s="214"/>
      <c r="V563" s="214"/>
      <c r="W563" s="169">
        <f t="shared" si="164"/>
        <v>0</v>
      </c>
      <c r="X563" s="168">
        <f t="shared" si="165"/>
        <v>0</v>
      </c>
      <c r="Y563" s="168">
        <f t="shared" si="166"/>
        <v>0</v>
      </c>
      <c r="Z563" s="215">
        <f t="shared" si="167"/>
        <v>0</v>
      </c>
      <c r="AA563" s="169" t="b">
        <f aca="true" t="shared" si="175" ref="AA563:AA588">IF($BQ563&lt;=W$497,MATCH($BQ563,W$499:W$598,0))</f>
        <v>0</v>
      </c>
      <c r="AB563" s="168" t="b">
        <f aca="true" t="shared" si="176" ref="AB563:AB588">IF($BQ563&lt;=X$497,MATCH($BQ563,X$499:X$598,0))</f>
        <v>0</v>
      </c>
      <c r="AC563" s="168" t="b">
        <f aca="true" t="shared" si="177" ref="AC563:AC588">IF($BQ563&lt;=Y$497,MATCH($BQ563,Y$499:Y$598,0))</f>
        <v>0</v>
      </c>
      <c r="AD563" s="215" t="b">
        <f aca="true" t="shared" si="178" ref="AD563:AD588">IF($BQ563&lt;=Z$497,MATCH($BQ563,Z$499:Z$598,0))</f>
        <v>0</v>
      </c>
      <c r="AI563" s="170" t="str">
        <f t="shared" si="161"/>
        <v> </v>
      </c>
      <c r="AJ563" s="168">
        <f t="shared" si="162"/>
        <v>0</v>
      </c>
      <c r="AK563" s="168">
        <f ca="1" t="shared" si="173"/>
        <v>0</v>
      </c>
      <c r="AL563" s="168">
        <f t="shared" si="156"/>
        <v>0</v>
      </c>
      <c r="AM563" s="215"/>
      <c r="AN563" s="170" t="str">
        <f t="shared" si="168"/>
        <v>Anticipate Blow</v>
      </c>
      <c r="AO563" s="168">
        <f t="shared" si="169"/>
        <v>0</v>
      </c>
      <c r="AP563" s="168">
        <f ca="1" t="shared" si="170"/>
        <v>0</v>
      </c>
      <c r="AQ563" s="168" t="str">
        <f t="shared" si="171"/>
        <v>P</v>
      </c>
      <c r="AR563" s="168">
        <f t="shared" si="172"/>
        <v>0</v>
      </c>
      <c r="AS563" s="215"/>
      <c r="BQ563" s="211">
        <f t="shared" si="108"/>
        <v>65</v>
      </c>
      <c r="BR563" s="249" t="str">
        <f aca="true" t="shared" si="179" ref="BR563:BR594">B201</f>
        <v>Adventurer's Kit</v>
      </c>
      <c r="BS563" s="168">
        <f aca="true" t="shared" si="180" ref="BS563:BS594">F201</f>
        <v>0</v>
      </c>
      <c r="BT563" s="168">
        <f aca="true" t="shared" si="181" ref="BT563:BT594">G201</f>
        <v>15</v>
      </c>
      <c r="BU563" s="168">
        <f aca="true" t="shared" si="182" ref="BU563:BU594">H201</f>
        <v>10</v>
      </c>
      <c r="BV563" s="249" t="e">
        <f t="shared" si="124"/>
        <v>#VALUE!</v>
      </c>
      <c r="BW563" s="249" t="str">
        <f t="shared" si="125"/>
        <v>Adventurer's Kit</v>
      </c>
      <c r="BX563" s="249">
        <f t="shared" si="105"/>
        <v>0</v>
      </c>
      <c r="BY563" s="168">
        <f t="shared" si="109"/>
        <v>0</v>
      </c>
      <c r="BZ563" s="171"/>
    </row>
    <row r="564" spans="2:78" ht="12.75">
      <c r="B564" s="137">
        <v>11</v>
      </c>
      <c r="C564" s="112" t="str">
        <f t="shared" si="148"/>
        <v> </v>
      </c>
      <c r="D564" s="112" t="str">
        <f t="shared" si="153"/>
        <v> </v>
      </c>
      <c r="E564" s="122">
        <f t="shared" si="149"/>
        <v>0</v>
      </c>
      <c r="F564" s="134">
        <f ca="1" t="shared" si="163"/>
        <v>0</v>
      </c>
      <c r="G564" s="122">
        <f>IF(C564&lt;&gt;" ",MATCH(D564,Talents!B$3:B$278,1),0)</f>
        <v>0</v>
      </c>
      <c r="H564" s="122" t="str">
        <f ca="1">IF(G564=0," ",OFFSET(Talents!C$2,G564,0))</f>
        <v> </v>
      </c>
      <c r="I564" s="122" t="str">
        <f ca="1">IF(G564=0," ",OFFSET(Talents!D$2,G564,0))</f>
        <v> </v>
      </c>
      <c r="J564" s="122" t="str">
        <f t="shared" si="155"/>
        <v> </v>
      </c>
      <c r="K564" s="122">
        <f t="shared" si="150"/>
        <v>0</v>
      </c>
      <c r="L564" s="122" t="str">
        <f t="shared" si="174"/>
        <v> </v>
      </c>
      <c r="M564" s="122" t="str">
        <f aca="true" ca="1" t="shared" si="183" ref="M564:M588">IF(L564&lt;&gt;" ",OFFSET(ActionDice,L564,0),"-")</f>
        <v>-</v>
      </c>
      <c r="N564" s="112" t="b">
        <f t="shared" si="151"/>
        <v>0</v>
      </c>
      <c r="O564" s="122" t="str">
        <f ca="1">IF(G564&gt;0,IF(N564,"D",OFFSET(Talents!E$2,G564,0))&amp;OFFSET(Talents!F$2,G564,0)," ")</f>
        <v> </v>
      </c>
      <c r="P564" s="122" t="b">
        <f t="shared" si="152"/>
        <v>0</v>
      </c>
      <c r="Q564" s="169">
        <f aca="true" t="shared" si="184" ref="Q564:Q588">Q563+IF(P564,1,0)</f>
        <v>0</v>
      </c>
      <c r="R564" s="215"/>
      <c r="S564"/>
      <c r="T564"/>
      <c r="U564" s="214"/>
      <c r="V564" s="214"/>
      <c r="W564" s="169">
        <f t="shared" si="164"/>
        <v>0</v>
      </c>
      <c r="X564" s="168">
        <f t="shared" si="165"/>
        <v>0</v>
      </c>
      <c r="Y564" s="168">
        <f t="shared" si="166"/>
        <v>0</v>
      </c>
      <c r="Z564" s="215">
        <f t="shared" si="167"/>
        <v>0</v>
      </c>
      <c r="AA564" s="169" t="b">
        <f t="shared" si="175"/>
        <v>0</v>
      </c>
      <c r="AB564" s="168" t="b">
        <f t="shared" si="176"/>
        <v>0</v>
      </c>
      <c r="AC564" s="168" t="b">
        <f t="shared" si="177"/>
        <v>0</v>
      </c>
      <c r="AD564" s="215" t="b">
        <f t="shared" si="178"/>
        <v>0</v>
      </c>
      <c r="AI564" s="170" t="str">
        <f t="shared" si="161"/>
        <v> </v>
      </c>
      <c r="AJ564" s="168">
        <f t="shared" si="162"/>
        <v>0</v>
      </c>
      <c r="AK564" s="168">
        <f ca="1" t="shared" si="173"/>
        <v>0</v>
      </c>
      <c r="AL564" s="168">
        <f t="shared" si="156"/>
        <v>0</v>
      </c>
      <c r="AM564" s="215"/>
      <c r="AN564" s="170" t="str">
        <f t="shared" si="168"/>
        <v>Arcane Mutterings</v>
      </c>
      <c r="AO564" s="168">
        <f t="shared" si="169"/>
        <v>0</v>
      </c>
      <c r="AP564" s="168">
        <f ca="1" t="shared" si="170"/>
        <v>0</v>
      </c>
      <c r="AQ564" s="168" t="str">
        <f t="shared" si="171"/>
        <v>W</v>
      </c>
      <c r="AR564" s="168">
        <f t="shared" si="172"/>
        <v>0</v>
      </c>
      <c r="AS564" s="215"/>
      <c r="BQ564" s="211">
        <f t="shared" si="108"/>
        <v>66</v>
      </c>
      <c r="BR564" s="249" t="str">
        <f t="shared" si="179"/>
        <v>Adventurer's Kit w/Tent</v>
      </c>
      <c r="BS564" s="168">
        <f t="shared" si="180"/>
        <v>0</v>
      </c>
      <c r="BT564" s="168">
        <f t="shared" si="181"/>
        <v>40</v>
      </c>
      <c r="BU564" s="168">
        <f t="shared" si="182"/>
        <v>25</v>
      </c>
      <c r="BV564" s="249" t="e">
        <f t="shared" si="124"/>
        <v>#VALUE!</v>
      </c>
      <c r="BW564" s="249" t="str">
        <f t="shared" si="125"/>
        <v>Adventurer's Kit w/Tent</v>
      </c>
      <c r="BX564" s="249">
        <f>IF(BU564=" "," ",IF(ISERROR(VALUE(BS564)),BU564,BS564*BU564))</f>
        <v>0</v>
      </c>
      <c r="BY564" s="168">
        <f t="shared" si="109"/>
        <v>0</v>
      </c>
      <c r="BZ564" s="171"/>
    </row>
    <row r="565" spans="2:78" ht="12.75">
      <c r="B565" s="137">
        <v>12</v>
      </c>
      <c r="C565" s="112" t="str">
        <f t="shared" si="148"/>
        <v> </v>
      </c>
      <c r="D565" s="112" t="str">
        <f t="shared" si="153"/>
        <v> </v>
      </c>
      <c r="E565" s="122">
        <f t="shared" si="149"/>
        <v>0</v>
      </c>
      <c r="F565" s="134">
        <f ca="1" t="shared" si="163"/>
        <v>0</v>
      </c>
      <c r="G565" s="122">
        <f>IF(C565&lt;&gt;" ",MATCH(D565,Talents!B$3:B$278,1),0)</f>
        <v>0</v>
      </c>
      <c r="H565" s="122" t="str">
        <f ca="1">IF(G565=0," ",OFFSET(Talents!C$2,G565,0))</f>
        <v> </v>
      </c>
      <c r="I565" s="122" t="str">
        <f ca="1">IF(G565=0," ",OFFSET(Talents!D$2,G565,0))</f>
        <v> </v>
      </c>
      <c r="J565" s="122" t="str">
        <f t="shared" si="155"/>
        <v> </v>
      </c>
      <c r="K565" s="122">
        <f t="shared" si="150"/>
        <v>0</v>
      </c>
      <c r="L565" s="122" t="str">
        <f t="shared" si="174"/>
        <v> </v>
      </c>
      <c r="M565" s="122" t="str">
        <f ca="1" t="shared" si="183"/>
        <v>-</v>
      </c>
      <c r="N565" s="112" t="b">
        <f t="shared" si="151"/>
        <v>0</v>
      </c>
      <c r="O565" s="122" t="str">
        <f ca="1">IF(G565&gt;0,IF(N565,"D",OFFSET(Talents!E$2,G565,0))&amp;OFFSET(Talents!F$2,G565,0)," ")</f>
        <v> </v>
      </c>
      <c r="P565" s="122" t="b">
        <f t="shared" si="152"/>
        <v>0</v>
      </c>
      <c r="Q565" s="169">
        <f t="shared" si="184"/>
        <v>0</v>
      </c>
      <c r="R565" s="215"/>
      <c r="S565"/>
      <c r="T565"/>
      <c r="U565" s="214"/>
      <c r="V565" s="214"/>
      <c r="W565" s="169">
        <f t="shared" si="164"/>
        <v>0</v>
      </c>
      <c r="X565" s="168">
        <f t="shared" si="165"/>
        <v>0</v>
      </c>
      <c r="Y565" s="168">
        <f t="shared" si="166"/>
        <v>0</v>
      </c>
      <c r="Z565" s="215">
        <f t="shared" si="167"/>
        <v>0</v>
      </c>
      <c r="AA565" s="169" t="b">
        <f t="shared" si="175"/>
        <v>0</v>
      </c>
      <c r="AB565" s="168" t="b">
        <f t="shared" si="176"/>
        <v>0</v>
      </c>
      <c r="AC565" s="168" t="b">
        <f t="shared" si="177"/>
        <v>0</v>
      </c>
      <c r="AD565" s="215" t="b">
        <f t="shared" si="178"/>
        <v>0</v>
      </c>
      <c r="AI565" s="170" t="str">
        <f t="shared" si="161"/>
        <v> </v>
      </c>
      <c r="AJ565" s="168">
        <f t="shared" si="162"/>
        <v>0</v>
      </c>
      <c r="AK565" s="168">
        <f ca="1" t="shared" si="173"/>
        <v>0</v>
      </c>
      <c r="AL565" s="168">
        <f t="shared" si="156"/>
        <v>0</v>
      </c>
      <c r="AM565" s="215"/>
      <c r="AN565" s="170" t="str">
        <f t="shared" si="168"/>
        <v>Bardic Voice</v>
      </c>
      <c r="AO565" s="168">
        <f t="shared" si="169"/>
        <v>0</v>
      </c>
      <c r="AP565" s="168">
        <f ca="1" t="shared" si="170"/>
        <v>0</v>
      </c>
      <c r="AQ565" s="168" t="str">
        <f t="shared" si="171"/>
        <v>C</v>
      </c>
      <c r="AR565" s="168">
        <f t="shared" si="172"/>
        <v>0</v>
      </c>
      <c r="AS565" s="215"/>
      <c r="BQ565" s="211">
        <f aca="true" t="shared" si="185" ref="BQ565:BQ628">BQ564+1</f>
        <v>67</v>
      </c>
      <c r="BR565" s="249" t="str">
        <f t="shared" si="179"/>
        <v>Backpack</v>
      </c>
      <c r="BS565" s="168">
        <f t="shared" si="180"/>
        <v>0</v>
      </c>
      <c r="BT565" s="168">
        <f t="shared" si="181"/>
        <v>5</v>
      </c>
      <c r="BU565" s="168">
        <f t="shared" si="182"/>
        <v>3</v>
      </c>
      <c r="BV565" s="249" t="e">
        <f t="shared" si="124"/>
        <v>#VALUE!</v>
      </c>
      <c r="BW565" s="249" t="str">
        <f t="shared" si="125"/>
        <v>Backpack</v>
      </c>
      <c r="BX565" s="249">
        <f>IF(BU565=" "," ",IF(ISERROR(VALUE(BS565)),BU565,BS565*BU565))</f>
        <v>0</v>
      </c>
      <c r="BY565" s="168">
        <f aca="true" t="shared" si="186" ref="BY565:BY628">BY564+IF(AND(BR565&lt;&gt;0,BS565&lt;&gt;0),1,0)</f>
        <v>0</v>
      </c>
      <c r="BZ565" s="171"/>
    </row>
    <row r="566" spans="2:78" ht="12.75">
      <c r="B566" s="137">
        <v>12</v>
      </c>
      <c r="C566" s="112" t="str">
        <f t="shared" si="148"/>
        <v> </v>
      </c>
      <c r="D566" s="112" t="str">
        <f t="shared" si="153"/>
        <v> </v>
      </c>
      <c r="E566" s="122">
        <f t="shared" si="149"/>
        <v>0</v>
      </c>
      <c r="F566" s="134">
        <f ca="1" t="shared" si="163"/>
        <v>0</v>
      </c>
      <c r="G566" s="122">
        <f>IF(C566&lt;&gt;" ",MATCH(D566,Talents!B$3:B$278,1),0)</f>
        <v>0</v>
      </c>
      <c r="H566" s="122" t="str">
        <f ca="1">IF(G566=0," ",OFFSET(Talents!C$2,G566,0))</f>
        <v> </v>
      </c>
      <c r="I566" s="122" t="str">
        <f ca="1">IF(G566=0," ",OFFSET(Talents!D$2,G566,0))</f>
        <v> </v>
      </c>
      <c r="J566" s="122" t="str">
        <f t="shared" si="155"/>
        <v> </v>
      </c>
      <c r="K566" s="122">
        <f t="shared" si="150"/>
        <v>0</v>
      </c>
      <c r="L566" s="122" t="str">
        <f t="shared" si="174"/>
        <v> </v>
      </c>
      <c r="M566" s="122" t="str">
        <f ca="1" t="shared" si="183"/>
        <v>-</v>
      </c>
      <c r="N566" s="112" t="b">
        <f t="shared" si="151"/>
        <v>0</v>
      </c>
      <c r="O566" s="122" t="str">
        <f ca="1">IF(G566&gt;0,IF(N566,"D",OFFSET(Talents!E$2,G566,0))&amp;OFFSET(Talents!F$2,G566,0)," ")</f>
        <v> </v>
      </c>
      <c r="P566" s="122" t="b">
        <f t="shared" si="152"/>
        <v>0</v>
      </c>
      <c r="Q566" s="169">
        <f t="shared" si="184"/>
        <v>0</v>
      </c>
      <c r="R566" s="215"/>
      <c r="S566"/>
      <c r="T566"/>
      <c r="U566" s="214"/>
      <c r="V566" s="214"/>
      <c r="W566" s="169">
        <f t="shared" si="164"/>
        <v>0</v>
      </c>
      <c r="X566" s="168">
        <f t="shared" si="165"/>
        <v>0</v>
      </c>
      <c r="Y566" s="168">
        <f t="shared" si="166"/>
        <v>0</v>
      </c>
      <c r="Z566" s="215">
        <f t="shared" si="167"/>
        <v>0</v>
      </c>
      <c r="AA566" s="169" t="b">
        <f t="shared" si="175"/>
        <v>0</v>
      </c>
      <c r="AB566" s="168" t="b">
        <f t="shared" si="176"/>
        <v>0</v>
      </c>
      <c r="AC566" s="168" t="b">
        <f t="shared" si="177"/>
        <v>0</v>
      </c>
      <c r="AD566" s="215" t="b">
        <f t="shared" si="178"/>
        <v>0</v>
      </c>
      <c r="AI566" s="170" t="str">
        <f t="shared" si="161"/>
        <v> </v>
      </c>
      <c r="AJ566" s="168">
        <f t="shared" si="162"/>
        <v>0</v>
      </c>
      <c r="AK566" s="168">
        <f ca="1" t="shared" si="173"/>
        <v>0</v>
      </c>
      <c r="AL566" s="168">
        <f t="shared" si="156"/>
        <v>0</v>
      </c>
      <c r="AM566" s="215"/>
      <c r="AN566" s="170" t="str">
        <f t="shared" si="168"/>
        <v>Battle Shout</v>
      </c>
      <c r="AO566" s="168">
        <f t="shared" si="169"/>
        <v>0</v>
      </c>
      <c r="AP566" s="168">
        <f ca="1" t="shared" si="170"/>
        <v>0</v>
      </c>
      <c r="AQ566" s="168" t="str">
        <f t="shared" si="171"/>
        <v>C</v>
      </c>
      <c r="AR566" s="168">
        <f t="shared" si="172"/>
        <v>0</v>
      </c>
      <c r="AS566" s="215"/>
      <c r="BQ566" s="211">
        <f t="shared" si="185"/>
        <v>68</v>
      </c>
      <c r="BR566" s="249" t="str">
        <f t="shared" si="179"/>
        <v>Bedroll</v>
      </c>
      <c r="BS566" s="168">
        <f t="shared" si="180"/>
        <v>0</v>
      </c>
      <c r="BT566" s="168">
        <f t="shared" si="181"/>
        <v>5</v>
      </c>
      <c r="BU566" s="168">
        <f t="shared" si="182"/>
        <v>2</v>
      </c>
      <c r="BV566" s="249" t="e">
        <f t="shared" si="124"/>
        <v>#VALUE!</v>
      </c>
      <c r="BW566" s="249" t="str">
        <f t="shared" si="125"/>
        <v>Bedroll</v>
      </c>
      <c r="BX566" s="249">
        <f>IF(BU566=" "," ",IF(ISERROR(VALUE(BS566)),BU566,BS566*BU566))</f>
        <v>0</v>
      </c>
      <c r="BY566" s="168">
        <f t="shared" si="186"/>
        <v>0</v>
      </c>
      <c r="BZ566" s="171"/>
    </row>
    <row r="567" spans="2:78" ht="12.75">
      <c r="B567" s="137">
        <v>13</v>
      </c>
      <c r="C567" s="112" t="str">
        <f t="shared" si="148"/>
        <v> </v>
      </c>
      <c r="D567" s="112" t="str">
        <f t="shared" si="153"/>
        <v> </v>
      </c>
      <c r="E567" s="122">
        <f t="shared" si="149"/>
        <v>0</v>
      </c>
      <c r="F567" s="134">
        <f aca="true" ca="1" t="shared" si="187" ref="F567:F572">OFFSET(Cost_13_15,E567,0)</f>
        <v>0</v>
      </c>
      <c r="G567" s="122">
        <f>IF(C567&lt;&gt;" ",MATCH(D567,Talents!B$3:B$278,1),0)</f>
        <v>0</v>
      </c>
      <c r="H567" s="122" t="str">
        <f ca="1">IF(G567=0," ",OFFSET(Talents!C$2,G567,0))</f>
        <v> </v>
      </c>
      <c r="I567" s="122" t="str">
        <f ca="1">IF(G567=0," ",OFFSET(Talents!D$2,G567,0))</f>
        <v> </v>
      </c>
      <c r="J567" s="122" t="str">
        <f t="shared" si="155"/>
        <v> </v>
      </c>
      <c r="K567" s="122">
        <f t="shared" si="150"/>
        <v>0</v>
      </c>
      <c r="L567" s="122" t="str">
        <f t="shared" si="174"/>
        <v> </v>
      </c>
      <c r="M567" s="122" t="str">
        <f ca="1" t="shared" si="183"/>
        <v>-</v>
      </c>
      <c r="N567" s="112" t="b">
        <f t="shared" si="151"/>
        <v>0</v>
      </c>
      <c r="O567" s="122" t="str">
        <f ca="1">IF(G567&gt;0,IF(N567,"D",OFFSET(Talents!E$2,G567,0))&amp;OFFSET(Talents!F$2,G567,0)," ")</f>
        <v> </v>
      </c>
      <c r="P567" s="122" t="b">
        <f t="shared" si="152"/>
        <v>0</v>
      </c>
      <c r="Q567" s="169">
        <f t="shared" si="184"/>
        <v>0</v>
      </c>
      <c r="R567" s="215"/>
      <c r="S567"/>
      <c r="T567"/>
      <c r="U567" s="214"/>
      <c r="V567" s="214"/>
      <c r="W567" s="169">
        <f t="shared" si="164"/>
        <v>0</v>
      </c>
      <c r="X567" s="168">
        <f t="shared" si="165"/>
        <v>0</v>
      </c>
      <c r="Y567" s="168">
        <f t="shared" si="166"/>
        <v>0</v>
      </c>
      <c r="Z567" s="215">
        <f t="shared" si="167"/>
        <v>0</v>
      </c>
      <c r="AA567" s="169" t="b">
        <f t="shared" si="175"/>
        <v>0</v>
      </c>
      <c r="AB567" s="168" t="b">
        <f t="shared" si="176"/>
        <v>0</v>
      </c>
      <c r="AC567" s="168" t="b">
        <f t="shared" si="177"/>
        <v>0</v>
      </c>
      <c r="AD567" s="215" t="b">
        <f t="shared" si="178"/>
        <v>0</v>
      </c>
      <c r="AI567" s="170" t="str">
        <f t="shared" si="161"/>
        <v> </v>
      </c>
      <c r="AJ567" s="168">
        <f t="shared" si="162"/>
        <v>0</v>
      </c>
      <c r="AK567" s="168">
        <f ca="1" t="shared" si="173"/>
        <v>0</v>
      </c>
      <c r="AL567" s="168">
        <f t="shared" si="156"/>
        <v>0</v>
      </c>
      <c r="AM567" s="215"/>
      <c r="AN567" s="170" t="str">
        <f t="shared" si="168"/>
        <v>Blade Juggle</v>
      </c>
      <c r="AO567" s="168">
        <f t="shared" si="169"/>
        <v>0</v>
      </c>
      <c r="AP567" s="168">
        <f ca="1" t="shared" si="170"/>
        <v>0</v>
      </c>
      <c r="AQ567" s="168" t="str">
        <f t="shared" si="171"/>
        <v>D</v>
      </c>
      <c r="AR567" s="168">
        <f t="shared" si="172"/>
        <v>0</v>
      </c>
      <c r="AS567" s="215"/>
      <c r="BQ567" s="211">
        <f t="shared" si="185"/>
        <v>69</v>
      </c>
      <c r="BR567" s="249" t="str">
        <f t="shared" si="179"/>
        <v>Belt Pouch</v>
      </c>
      <c r="BS567" s="168">
        <f t="shared" si="180"/>
        <v>0</v>
      </c>
      <c r="BT567" s="168">
        <f t="shared" si="181"/>
        <v>0.8</v>
      </c>
      <c r="BU567" s="168">
        <f t="shared" si="182"/>
        <v>1</v>
      </c>
      <c r="BV567" s="249" t="e">
        <f t="shared" si="124"/>
        <v>#VALUE!</v>
      </c>
      <c r="BW567" s="249" t="str">
        <f t="shared" si="125"/>
        <v>Belt Pouch</v>
      </c>
      <c r="BX567" s="249">
        <f>IF(BU567=" "," ",IF(ISERROR(VALUE(BS567)),BU567,BS567*BU567))</f>
        <v>0</v>
      </c>
      <c r="BY567" s="168">
        <f t="shared" si="186"/>
        <v>0</v>
      </c>
      <c r="BZ567" s="171"/>
    </row>
    <row r="568" spans="2:78" ht="12.75">
      <c r="B568" s="137">
        <v>13</v>
      </c>
      <c r="C568" s="112" t="str">
        <f t="shared" si="148"/>
        <v> </v>
      </c>
      <c r="D568" s="112" t="str">
        <f t="shared" si="153"/>
        <v> </v>
      </c>
      <c r="E568" s="122">
        <f t="shared" si="149"/>
        <v>0</v>
      </c>
      <c r="F568" s="134">
        <f ca="1" t="shared" si="187"/>
        <v>0</v>
      </c>
      <c r="G568" s="122">
        <f>IF(C568&lt;&gt;" ",MATCH(D568,Talents!B$3:B$278,1),0)</f>
        <v>0</v>
      </c>
      <c r="H568" s="122" t="str">
        <f ca="1">IF(G568=0," ",OFFSET(Talents!C$2,G568,0))</f>
        <v> </v>
      </c>
      <c r="I568" s="122" t="str">
        <f ca="1">IF(G568=0," ",OFFSET(Talents!D$2,G568,0))</f>
        <v> </v>
      </c>
      <c r="J568" s="122" t="str">
        <f t="shared" si="155"/>
        <v> </v>
      </c>
      <c r="K568" s="122">
        <f t="shared" si="150"/>
        <v>0</v>
      </c>
      <c r="L568" s="122" t="str">
        <f t="shared" si="174"/>
        <v> </v>
      </c>
      <c r="M568" s="122" t="str">
        <f ca="1" t="shared" si="183"/>
        <v>-</v>
      </c>
      <c r="N568" s="112" t="b">
        <f t="shared" si="151"/>
        <v>0</v>
      </c>
      <c r="O568" s="122" t="str">
        <f ca="1">IF(G568&gt;0,IF(N568,"D",OFFSET(Talents!E$2,G568,0))&amp;OFFSET(Talents!F$2,G568,0)," ")</f>
        <v> </v>
      </c>
      <c r="P568" s="122" t="b">
        <f t="shared" si="152"/>
        <v>0</v>
      </c>
      <c r="Q568" s="169">
        <f t="shared" si="184"/>
        <v>0</v>
      </c>
      <c r="R568" s="215"/>
      <c r="S568"/>
      <c r="T568"/>
      <c r="U568" s="214"/>
      <c r="V568" s="214"/>
      <c r="W568" s="169">
        <f t="shared" si="164"/>
        <v>0</v>
      </c>
      <c r="X568" s="168">
        <f t="shared" si="165"/>
        <v>0</v>
      </c>
      <c r="Y568" s="168">
        <f t="shared" si="166"/>
        <v>0</v>
      </c>
      <c r="Z568" s="215">
        <f t="shared" si="167"/>
        <v>0</v>
      </c>
      <c r="AA568" s="169" t="b">
        <f t="shared" si="175"/>
        <v>0</v>
      </c>
      <c r="AB568" s="168" t="b">
        <f t="shared" si="176"/>
        <v>0</v>
      </c>
      <c r="AC568" s="168" t="b">
        <f t="shared" si="177"/>
        <v>0</v>
      </c>
      <c r="AD568" s="215" t="b">
        <f t="shared" si="178"/>
        <v>0</v>
      </c>
      <c r="AI568" s="170" t="str">
        <f t="shared" si="161"/>
        <v> </v>
      </c>
      <c r="AJ568" s="168">
        <f t="shared" si="162"/>
        <v>0</v>
      </c>
      <c r="AK568" s="168">
        <f ca="1" t="shared" si="173"/>
        <v>0</v>
      </c>
      <c r="AL568" s="168">
        <f t="shared" si="156"/>
        <v>0</v>
      </c>
      <c r="AM568" s="215"/>
      <c r="AN568" s="170" t="str">
        <f t="shared" si="168"/>
        <v>Called Shot</v>
      </c>
      <c r="AO568" s="168">
        <f t="shared" si="169"/>
        <v>0</v>
      </c>
      <c r="AP568" s="168">
        <f ca="1" t="shared" si="170"/>
        <v>0</v>
      </c>
      <c r="AQ568" s="168" t="str">
        <f t="shared" si="171"/>
        <v>D</v>
      </c>
      <c r="AR568" s="168">
        <f t="shared" si="172"/>
        <v>0</v>
      </c>
      <c r="AS568" s="215"/>
      <c r="BQ568" s="211">
        <f t="shared" si="185"/>
        <v>70</v>
      </c>
      <c r="BR568" s="249" t="str">
        <f t="shared" si="179"/>
        <v>Blanket</v>
      </c>
      <c r="BS568" s="168">
        <f t="shared" si="180"/>
        <v>0</v>
      </c>
      <c r="BT568" s="168">
        <f t="shared" si="181"/>
        <v>12</v>
      </c>
      <c r="BU568" s="168">
        <f t="shared" si="182"/>
        <v>3</v>
      </c>
      <c r="BV568" s="249" t="e">
        <f t="shared" si="124"/>
        <v>#VALUE!</v>
      </c>
      <c r="BW568" s="249" t="str">
        <f t="shared" si="125"/>
        <v>Blanket</v>
      </c>
      <c r="BX568" s="249">
        <f aca="true" t="shared" si="188" ref="BX568:BX631">IF(BU568=" "," ",IF(ISERROR(VALUE(BS568)),BU568,BS568*BU568))</f>
        <v>0</v>
      </c>
      <c r="BY568" s="168">
        <f t="shared" si="186"/>
        <v>0</v>
      </c>
      <c r="BZ568" s="171"/>
    </row>
    <row r="569" spans="2:78" ht="12.75">
      <c r="B569" s="137">
        <v>14</v>
      </c>
      <c r="C569" s="112" t="str">
        <f t="shared" si="148"/>
        <v> </v>
      </c>
      <c r="D569" s="112" t="str">
        <f t="shared" si="153"/>
        <v> </v>
      </c>
      <c r="E569" s="122">
        <f t="shared" si="149"/>
        <v>0</v>
      </c>
      <c r="F569" s="134">
        <f ca="1" t="shared" si="187"/>
        <v>0</v>
      </c>
      <c r="G569" s="122">
        <f>IF(C569&lt;&gt;" ",MATCH(D569,Talents!B$3:B$278,1),0)</f>
        <v>0</v>
      </c>
      <c r="H569" s="122" t="str">
        <f ca="1">IF(G569=0," ",OFFSET(Talents!C$2,G569,0))</f>
        <v> </v>
      </c>
      <c r="I569" s="122" t="str">
        <f ca="1">IF(G569=0," ",OFFSET(Talents!D$2,G569,0))</f>
        <v> </v>
      </c>
      <c r="J569" s="122" t="str">
        <f t="shared" si="155"/>
        <v> </v>
      </c>
      <c r="K569" s="122">
        <f t="shared" si="150"/>
        <v>0</v>
      </c>
      <c r="L569" s="122" t="str">
        <f t="shared" si="174"/>
        <v> </v>
      </c>
      <c r="M569" s="122" t="str">
        <f ca="1" t="shared" si="183"/>
        <v>-</v>
      </c>
      <c r="N569" s="112" t="b">
        <f t="shared" si="151"/>
        <v>0</v>
      </c>
      <c r="O569" s="122" t="str">
        <f ca="1">IF(G569&gt;0,IF(N569,"D",OFFSET(Talents!E$2,G569,0))&amp;OFFSET(Talents!F$2,G569,0)," ")</f>
        <v> </v>
      </c>
      <c r="P569" s="122" t="b">
        <f t="shared" si="152"/>
        <v>0</v>
      </c>
      <c r="Q569" s="169">
        <f t="shared" si="184"/>
        <v>0</v>
      </c>
      <c r="R569" s="215"/>
      <c r="S569"/>
      <c r="T569"/>
      <c r="U569" s="214"/>
      <c r="V569" s="214"/>
      <c r="W569" s="169">
        <f t="shared" si="164"/>
        <v>0</v>
      </c>
      <c r="X569" s="168">
        <f t="shared" si="165"/>
        <v>0</v>
      </c>
      <c r="Y569" s="168">
        <f t="shared" si="166"/>
        <v>0</v>
      </c>
      <c r="Z569" s="215">
        <f t="shared" si="167"/>
        <v>0</v>
      </c>
      <c r="AA569" s="169" t="b">
        <f t="shared" si="175"/>
        <v>0</v>
      </c>
      <c r="AB569" s="168" t="b">
        <f t="shared" si="176"/>
        <v>0</v>
      </c>
      <c r="AC569" s="168" t="b">
        <f t="shared" si="177"/>
        <v>0</v>
      </c>
      <c r="AD569" s="215" t="b">
        <f t="shared" si="178"/>
        <v>0</v>
      </c>
      <c r="AI569" s="170" t="str">
        <f t="shared" si="161"/>
        <v> </v>
      </c>
      <c r="AJ569" s="168">
        <f t="shared" si="162"/>
        <v>0</v>
      </c>
      <c r="AK569" s="168">
        <f ca="1" t="shared" si="173"/>
        <v>0</v>
      </c>
      <c r="AL569" s="168">
        <f t="shared" si="156"/>
        <v>0</v>
      </c>
      <c r="AM569" s="215"/>
      <c r="AN569" s="170" t="str">
        <f t="shared" si="168"/>
        <v>Champion Challenge</v>
      </c>
      <c r="AO569" s="168">
        <f t="shared" si="169"/>
        <v>0</v>
      </c>
      <c r="AP569" s="168">
        <f ca="1" t="shared" si="170"/>
        <v>0</v>
      </c>
      <c r="AQ569" s="168" t="str">
        <f t="shared" si="171"/>
        <v>C</v>
      </c>
      <c r="AR569" s="168">
        <f t="shared" si="172"/>
        <v>0</v>
      </c>
      <c r="AS569" s="215"/>
      <c r="BQ569" s="211">
        <f t="shared" si="185"/>
        <v>71</v>
      </c>
      <c r="BR569" s="249" t="str">
        <f t="shared" si="179"/>
        <v>Candle</v>
      </c>
      <c r="BS569" s="168">
        <f t="shared" si="180"/>
        <v>0</v>
      </c>
      <c r="BT569" s="168">
        <f t="shared" si="181"/>
        <v>0.3</v>
      </c>
      <c r="BU569" s="168">
        <f t="shared" si="182"/>
        <v>0.5</v>
      </c>
      <c r="BV569" s="249" t="e">
        <f t="shared" si="124"/>
        <v>#VALUE!</v>
      </c>
      <c r="BW569" s="249" t="str">
        <f t="shared" si="125"/>
        <v>Candle</v>
      </c>
      <c r="BX569" s="249">
        <f t="shared" si="188"/>
        <v>0</v>
      </c>
      <c r="BY569" s="168">
        <f t="shared" si="186"/>
        <v>0</v>
      </c>
      <c r="BZ569" s="171"/>
    </row>
    <row r="570" spans="2:78" ht="12.75">
      <c r="B570" s="137">
        <v>14</v>
      </c>
      <c r="C570" s="112" t="str">
        <f t="shared" si="148"/>
        <v> </v>
      </c>
      <c r="D570" s="112" t="str">
        <f t="shared" si="153"/>
        <v> </v>
      </c>
      <c r="E570" s="122">
        <f t="shared" si="149"/>
        <v>0</v>
      </c>
      <c r="F570" s="134">
        <f ca="1" t="shared" si="187"/>
        <v>0</v>
      </c>
      <c r="G570" s="122">
        <f>IF(C570&lt;&gt;" ",MATCH(D570,Talents!B$3:B$278,1),0)</f>
        <v>0</v>
      </c>
      <c r="H570" s="122" t="str">
        <f ca="1">IF(G570=0," ",OFFSET(Talents!C$2,G570,0))</f>
        <v> </v>
      </c>
      <c r="I570" s="122" t="str">
        <f ca="1">IF(G570=0," ",OFFSET(Talents!D$2,G570,0))</f>
        <v> </v>
      </c>
      <c r="J570" s="122" t="str">
        <f t="shared" si="155"/>
        <v> </v>
      </c>
      <c r="K570" s="122">
        <f t="shared" si="150"/>
        <v>0</v>
      </c>
      <c r="L570" s="122" t="str">
        <f t="shared" si="174"/>
        <v> </v>
      </c>
      <c r="M570" s="122" t="str">
        <f ca="1" t="shared" si="183"/>
        <v>-</v>
      </c>
      <c r="N570" s="112" t="b">
        <f t="shared" si="151"/>
        <v>0</v>
      </c>
      <c r="O570" s="122" t="str">
        <f ca="1">IF(G570&gt;0,IF(N570,"D",OFFSET(Talents!E$2,G570,0))&amp;OFFSET(Talents!F$2,G570,0)," ")</f>
        <v> </v>
      </c>
      <c r="P570" s="122" t="b">
        <f t="shared" si="152"/>
        <v>0</v>
      </c>
      <c r="Q570" s="169">
        <f t="shared" si="184"/>
        <v>0</v>
      </c>
      <c r="R570" s="215"/>
      <c r="S570"/>
      <c r="T570"/>
      <c r="U570" s="214"/>
      <c r="V570" s="214"/>
      <c r="W570" s="169">
        <f t="shared" si="164"/>
        <v>0</v>
      </c>
      <c r="X570" s="168">
        <f t="shared" si="165"/>
        <v>0</v>
      </c>
      <c r="Y570" s="168">
        <f t="shared" si="166"/>
        <v>0</v>
      </c>
      <c r="Z570" s="215">
        <f t="shared" si="167"/>
        <v>0</v>
      </c>
      <c r="AA570" s="169" t="b">
        <f t="shared" si="175"/>
        <v>0</v>
      </c>
      <c r="AB570" s="168" t="b">
        <f t="shared" si="176"/>
        <v>0</v>
      </c>
      <c r="AC570" s="168" t="b">
        <f t="shared" si="177"/>
        <v>0</v>
      </c>
      <c r="AD570" s="215" t="b">
        <f t="shared" si="178"/>
        <v>0</v>
      </c>
      <c r="AI570" s="170" t="str">
        <f t="shared" si="161"/>
        <v> </v>
      </c>
      <c r="AJ570" s="168">
        <f t="shared" si="162"/>
        <v>0</v>
      </c>
      <c r="AK570" s="168">
        <f ca="1" t="shared" si="173"/>
        <v>0</v>
      </c>
      <c r="AL570" s="168">
        <f t="shared" si="156"/>
        <v>0</v>
      </c>
      <c r="AM570" s="215"/>
      <c r="AN570" s="170" t="str">
        <f t="shared" si="168"/>
        <v>Charge</v>
      </c>
      <c r="AO570" s="168">
        <f t="shared" si="169"/>
        <v>0</v>
      </c>
      <c r="AP570" s="168">
        <f ca="1" t="shared" si="170"/>
        <v>0</v>
      </c>
      <c r="AQ570" s="168" t="str">
        <f t="shared" si="171"/>
        <v>S</v>
      </c>
      <c r="AR570" s="168">
        <f t="shared" si="172"/>
        <v>0</v>
      </c>
      <c r="AS570" s="215"/>
      <c r="BQ570" s="211">
        <f t="shared" si="185"/>
        <v>72</v>
      </c>
      <c r="BR570" s="249" t="str">
        <f t="shared" si="179"/>
        <v>Chain, Light</v>
      </c>
      <c r="BS570" s="168">
        <f t="shared" si="180"/>
        <v>0</v>
      </c>
      <c r="BT570" s="168">
        <f t="shared" si="181"/>
        <v>10</v>
      </c>
      <c r="BU570" s="168">
        <f t="shared" si="182"/>
        <v>5</v>
      </c>
      <c r="BV570" s="249">
        <f t="shared" si="124"/>
        <v>6</v>
      </c>
      <c r="BW570" s="249" t="str">
        <f t="shared" si="125"/>
        <v>Light Chain</v>
      </c>
      <c r="BX570" s="249">
        <f t="shared" si="188"/>
        <v>0</v>
      </c>
      <c r="BY570" s="168">
        <f t="shared" si="186"/>
        <v>0</v>
      </c>
      <c r="BZ570" s="171"/>
    </row>
    <row r="571" spans="2:78" ht="12.75">
      <c r="B571" s="137">
        <v>15</v>
      </c>
      <c r="C571" s="112" t="str">
        <f t="shared" si="148"/>
        <v> </v>
      </c>
      <c r="D571" s="112" t="str">
        <f t="shared" si="153"/>
        <v> </v>
      </c>
      <c r="E571" s="122">
        <f t="shared" si="149"/>
        <v>0</v>
      </c>
      <c r="F571" s="134">
        <f ca="1" t="shared" si="187"/>
        <v>0</v>
      </c>
      <c r="G571" s="122">
        <f>IF(C571&lt;&gt;" ",MATCH(D571,Talents!B$3:B$278,1),0)</f>
        <v>0</v>
      </c>
      <c r="H571" s="122" t="str">
        <f ca="1">IF(G571=0," ",OFFSET(Talents!C$2,G571,0))</f>
        <v> </v>
      </c>
      <c r="I571" s="122" t="str">
        <f ca="1">IF(G571=0," ",OFFSET(Talents!D$2,G571,0))</f>
        <v> </v>
      </c>
      <c r="J571" s="122" t="str">
        <f t="shared" si="155"/>
        <v> </v>
      </c>
      <c r="K571" s="122">
        <f t="shared" si="150"/>
        <v>0</v>
      </c>
      <c r="L571" s="122" t="str">
        <f t="shared" si="174"/>
        <v> </v>
      </c>
      <c r="M571" s="122" t="str">
        <f ca="1" t="shared" si="183"/>
        <v>-</v>
      </c>
      <c r="N571" s="112" t="b">
        <f t="shared" si="151"/>
        <v>0</v>
      </c>
      <c r="O571" s="122" t="str">
        <f ca="1">IF(G571&gt;0,IF(N571,"D",OFFSET(Talents!E$2,G571,0))&amp;OFFSET(Talents!F$2,G571,0)," ")</f>
        <v> </v>
      </c>
      <c r="P571" s="122" t="b">
        <f t="shared" si="152"/>
        <v>0</v>
      </c>
      <c r="Q571" s="169">
        <f t="shared" si="184"/>
        <v>0</v>
      </c>
      <c r="R571" s="215"/>
      <c r="S571"/>
      <c r="T571"/>
      <c r="U571" s="214"/>
      <c r="V571" s="214"/>
      <c r="W571" s="169">
        <f t="shared" si="164"/>
        <v>0</v>
      </c>
      <c r="X571" s="168">
        <f t="shared" si="165"/>
        <v>0</v>
      </c>
      <c r="Y571" s="168">
        <f t="shared" si="166"/>
        <v>0</v>
      </c>
      <c r="Z571" s="215">
        <f t="shared" si="167"/>
        <v>0</v>
      </c>
      <c r="AA571" s="169" t="b">
        <f t="shared" si="175"/>
        <v>0</v>
      </c>
      <c r="AB571" s="168" t="b">
        <f t="shared" si="176"/>
        <v>0</v>
      </c>
      <c r="AC571" s="168" t="b">
        <f t="shared" si="177"/>
        <v>0</v>
      </c>
      <c r="AD571" s="215" t="b">
        <f t="shared" si="178"/>
        <v>0</v>
      </c>
      <c r="AI571" s="170" t="str">
        <f t="shared" si="161"/>
        <v> </v>
      </c>
      <c r="AJ571" s="168">
        <f t="shared" si="162"/>
        <v>0</v>
      </c>
      <c r="AK571" s="168">
        <f ca="1" t="shared" si="173"/>
        <v>0</v>
      </c>
      <c r="AL571" s="168">
        <f t="shared" si="156"/>
        <v>0</v>
      </c>
      <c r="AM571" s="215"/>
      <c r="AN571" s="170" t="str">
        <f t="shared" si="168"/>
        <v>Climbing</v>
      </c>
      <c r="AO571" s="168">
        <f t="shared" si="169"/>
        <v>0</v>
      </c>
      <c r="AP571" s="168">
        <f ca="1" t="shared" si="170"/>
        <v>0</v>
      </c>
      <c r="AQ571" s="168" t="str">
        <f t="shared" si="171"/>
        <v>D</v>
      </c>
      <c r="AR571" s="168">
        <f t="shared" si="172"/>
        <v>0</v>
      </c>
      <c r="AS571" s="215"/>
      <c r="BQ571" s="211">
        <f t="shared" si="185"/>
        <v>73</v>
      </c>
      <c r="BR571" s="249" t="str">
        <f t="shared" si="179"/>
        <v>Chain, Heavy</v>
      </c>
      <c r="BS571" s="168">
        <f t="shared" si="180"/>
        <v>0</v>
      </c>
      <c r="BT571" s="168">
        <f t="shared" si="181"/>
        <v>50</v>
      </c>
      <c r="BU571" s="168">
        <f t="shared" si="182"/>
        <v>10</v>
      </c>
      <c r="BV571" s="249">
        <f t="shared" si="124"/>
        <v>6</v>
      </c>
      <c r="BW571" s="249" t="str">
        <f t="shared" si="125"/>
        <v>Heavy Chain</v>
      </c>
      <c r="BX571" s="249">
        <f t="shared" si="188"/>
        <v>0</v>
      </c>
      <c r="BY571" s="168">
        <f t="shared" si="186"/>
        <v>0</v>
      </c>
      <c r="BZ571" s="171"/>
    </row>
    <row r="572" spans="2:78" ht="12.75">
      <c r="B572" s="137">
        <v>15</v>
      </c>
      <c r="C572" s="112" t="str">
        <f t="shared" si="148"/>
        <v> </v>
      </c>
      <c r="D572" s="112" t="str">
        <f t="shared" si="153"/>
        <v> </v>
      </c>
      <c r="E572" s="122">
        <f t="shared" si="149"/>
        <v>0</v>
      </c>
      <c r="F572" s="134">
        <f ca="1" t="shared" si="187"/>
        <v>0</v>
      </c>
      <c r="G572" s="122">
        <f>IF(C572&lt;&gt;" ",MATCH(D572,Talents!B$3:B$278,1),0)</f>
        <v>0</v>
      </c>
      <c r="H572" s="122" t="str">
        <f ca="1">IF(G572=0," ",OFFSET(Talents!C$2,G572,0))</f>
        <v> </v>
      </c>
      <c r="I572" s="122" t="str">
        <f ca="1">IF(G572=0," ",OFFSET(Talents!D$2,G572,0))</f>
        <v> </v>
      </c>
      <c r="J572" s="122" t="str">
        <f t="shared" si="155"/>
        <v> </v>
      </c>
      <c r="K572" s="122">
        <f t="shared" si="150"/>
        <v>0</v>
      </c>
      <c r="L572" s="122" t="str">
        <f t="shared" si="174"/>
        <v> </v>
      </c>
      <c r="M572" s="122" t="str">
        <f ca="1" t="shared" si="183"/>
        <v>-</v>
      </c>
      <c r="N572" s="112" t="b">
        <f t="shared" si="151"/>
        <v>0</v>
      </c>
      <c r="O572" s="122" t="str">
        <f ca="1">IF(G572&gt;0,IF(N572,"D",OFFSET(Talents!E$2,G572,0))&amp;OFFSET(Talents!F$2,G572,0)," ")</f>
        <v> </v>
      </c>
      <c r="P572" s="122" t="b">
        <f t="shared" si="152"/>
        <v>0</v>
      </c>
      <c r="Q572" s="169">
        <f t="shared" si="184"/>
        <v>0</v>
      </c>
      <c r="R572" s="215"/>
      <c r="S572"/>
      <c r="T572"/>
      <c r="U572" s="214"/>
      <c r="V572" s="214"/>
      <c r="W572" s="169">
        <f t="shared" si="164"/>
        <v>0</v>
      </c>
      <c r="X572" s="168">
        <f t="shared" si="165"/>
        <v>0</v>
      </c>
      <c r="Y572" s="168">
        <f t="shared" si="166"/>
        <v>0</v>
      </c>
      <c r="Z572" s="215">
        <f t="shared" si="167"/>
        <v>0</v>
      </c>
      <c r="AA572" s="169" t="b">
        <f t="shared" si="175"/>
        <v>0</v>
      </c>
      <c r="AB572" s="168" t="b">
        <f t="shared" si="176"/>
        <v>0</v>
      </c>
      <c r="AC572" s="168" t="b">
        <f t="shared" si="177"/>
        <v>0</v>
      </c>
      <c r="AD572" s="215" t="b">
        <f t="shared" si="178"/>
        <v>0</v>
      </c>
      <c r="AI572" s="170" t="str">
        <f t="shared" si="161"/>
        <v> </v>
      </c>
      <c r="AJ572" s="168">
        <f t="shared" si="162"/>
        <v>0</v>
      </c>
      <c r="AK572" s="168">
        <f ca="1" t="shared" si="173"/>
        <v>0</v>
      </c>
      <c r="AL572" s="168">
        <f t="shared" si="156"/>
        <v>0</v>
      </c>
      <c r="AM572" s="215"/>
      <c r="AN572" s="170" t="str">
        <f t="shared" si="168"/>
        <v>Cold Purify</v>
      </c>
      <c r="AO572" s="168">
        <f t="shared" si="169"/>
        <v>0</v>
      </c>
      <c r="AP572" s="168">
        <f ca="1" t="shared" si="170"/>
        <v>0</v>
      </c>
      <c r="AQ572" s="168" t="str">
        <f t="shared" si="171"/>
        <v>W</v>
      </c>
      <c r="AR572" s="168">
        <f t="shared" si="172"/>
        <v>0</v>
      </c>
      <c r="AS572" s="215"/>
      <c r="BQ572" s="211">
        <f t="shared" si="185"/>
        <v>74</v>
      </c>
      <c r="BR572" s="249" t="str">
        <f t="shared" si="179"/>
        <v>Chalk (5-piece box)</v>
      </c>
      <c r="BS572" s="168">
        <f t="shared" si="180"/>
        <v>0</v>
      </c>
      <c r="BT572" s="168">
        <f t="shared" si="181"/>
        <v>0.3</v>
      </c>
      <c r="BU572" s="168">
        <f t="shared" si="182"/>
        <v>0.5</v>
      </c>
      <c r="BV572" s="249" t="e">
        <f t="shared" si="124"/>
        <v>#VALUE!</v>
      </c>
      <c r="BW572" s="249" t="str">
        <f t="shared" si="125"/>
        <v>Chalk (5-piece box)</v>
      </c>
      <c r="BX572" s="249">
        <f t="shared" si="188"/>
        <v>0</v>
      </c>
      <c r="BY572" s="168">
        <f t="shared" si="186"/>
        <v>0</v>
      </c>
      <c r="BZ572" s="171"/>
    </row>
    <row r="573" spans="2:78" ht="12.75">
      <c r="B573" s="280" t="s">
        <v>170</v>
      </c>
      <c r="C573" s="112"/>
      <c r="D573" s="112" t="str">
        <f>IF(Race=Human,"Versatility"," ")</f>
        <v> </v>
      </c>
      <c r="E573" s="122">
        <f>O52</f>
        <v>0</v>
      </c>
      <c r="F573" s="134" t="str">
        <f ca="1">IF(D573=" "," ",OFFSET(Cost_1_4,E573,0))</f>
        <v> </v>
      </c>
      <c r="G573" s="122">
        <f>IF(D573&lt;&gt;" ",MATCH(D573,Talents!B$3:B$278,1),0)</f>
        <v>0</v>
      </c>
      <c r="H573" s="122" t="str">
        <f ca="1">IF(G573=0," ",OFFSET(Talents!C$2,G573,0))</f>
        <v> </v>
      </c>
      <c r="I573" s="122" t="str">
        <f ca="1">IF(G573=0," ",OFFSET(Talents!D$2,G573,0))</f>
        <v> </v>
      </c>
      <c r="J573" s="122" t="str">
        <f>IF(G573&gt;0,H573&amp;IF(I573&gt;0,"+"&amp;I573,"")," ")</f>
        <v> </v>
      </c>
      <c r="K573" s="155">
        <v>0</v>
      </c>
      <c r="L573" s="122" t="str">
        <f t="shared" si="174"/>
        <v> </v>
      </c>
      <c r="M573" s="122" t="str">
        <f ca="1" t="shared" si="183"/>
        <v>-</v>
      </c>
      <c r="N573" s="112" t="b">
        <v>0</v>
      </c>
      <c r="O573" s="122" t="str">
        <f ca="1">IF(G573&gt;0,IF(N573,"D",OFFSET(Talents!E$2,G573,0))&amp;OFFSET(Talents!F$2,G573,0)," ")</f>
        <v> </v>
      </c>
      <c r="P573" s="122" t="b">
        <f>(Race=Human)</f>
        <v>0</v>
      </c>
      <c r="Q573" s="169">
        <f t="shared" si="184"/>
        <v>0</v>
      </c>
      <c r="R573" s="215"/>
      <c r="S573"/>
      <c r="T573"/>
      <c r="U573" s="214"/>
      <c r="V573" s="214"/>
      <c r="W573" s="169">
        <f t="shared" si="164"/>
        <v>0</v>
      </c>
      <c r="X573" s="168">
        <f t="shared" si="165"/>
        <v>0</v>
      </c>
      <c r="Y573" s="168">
        <f t="shared" si="166"/>
        <v>0</v>
      </c>
      <c r="Z573" s="215">
        <f t="shared" si="167"/>
        <v>0</v>
      </c>
      <c r="AA573" s="169" t="b">
        <f t="shared" si="175"/>
        <v>0</v>
      </c>
      <c r="AB573" s="168" t="b">
        <f t="shared" si="176"/>
        <v>0</v>
      </c>
      <c r="AC573" s="168" t="b">
        <f t="shared" si="177"/>
        <v>0</v>
      </c>
      <c r="AD573" s="215" t="b">
        <f t="shared" si="178"/>
        <v>0</v>
      </c>
      <c r="AI573" s="170" t="str">
        <f t="shared" si="161"/>
        <v> </v>
      </c>
      <c r="AJ573" s="168">
        <f t="shared" si="162"/>
        <v>0</v>
      </c>
      <c r="AK573" s="168">
        <f ca="1" t="shared" si="173"/>
        <v>0</v>
      </c>
      <c r="AL573" s="168">
        <f aca="true" t="shared" si="189" ref="AL573:AL604">AL572+IF(AND(AI573&lt;&gt;" ",AJ573&gt;0),1,0)</f>
        <v>0</v>
      </c>
      <c r="AM573" s="215"/>
      <c r="AN573" s="170" t="str">
        <f t="shared" si="168"/>
        <v>Conceal Weapon</v>
      </c>
      <c r="AO573" s="168">
        <f t="shared" si="169"/>
        <v>0</v>
      </c>
      <c r="AP573" s="168">
        <f ca="1" t="shared" si="170"/>
        <v>0</v>
      </c>
      <c r="AQ573" s="168" t="str">
        <f t="shared" si="171"/>
        <v>P</v>
      </c>
      <c r="AR573" s="168">
        <f t="shared" si="172"/>
        <v>0</v>
      </c>
      <c r="AS573" s="215"/>
      <c r="BQ573" s="211">
        <f t="shared" si="185"/>
        <v>75</v>
      </c>
      <c r="BR573" s="249" t="str">
        <f t="shared" si="179"/>
        <v>Fishhook</v>
      </c>
      <c r="BS573" s="168">
        <f t="shared" si="180"/>
        <v>0</v>
      </c>
      <c r="BT573" s="168">
        <f t="shared" si="181"/>
        <v>0.1</v>
      </c>
      <c r="BU573" s="168">
        <f t="shared" si="182"/>
        <v>0</v>
      </c>
      <c r="BV573" s="249" t="e">
        <f t="shared" si="124"/>
        <v>#VALUE!</v>
      </c>
      <c r="BW573" s="249" t="str">
        <f t="shared" si="125"/>
        <v>Fishhook</v>
      </c>
      <c r="BX573" s="249">
        <f t="shared" si="188"/>
        <v>0</v>
      </c>
      <c r="BY573" s="168">
        <f t="shared" si="186"/>
        <v>0</v>
      </c>
      <c r="BZ573" s="171"/>
    </row>
    <row r="574" spans="2:78" ht="12.75">
      <c r="B574" s="137">
        <v>1</v>
      </c>
      <c r="C574" s="112"/>
      <c r="D574" s="119" t="str">
        <f aca="true" t="shared" si="190" ref="D574:D588">IF(AND(Race=Human,L54&lt;&gt;"",E$573&gt;=B574),L54," ")</f>
        <v> </v>
      </c>
      <c r="E574" s="122">
        <f aca="true" t="shared" si="191" ref="E574:E588">O54</f>
        <v>0</v>
      </c>
      <c r="F574" s="134" t="str">
        <f aca="true" ca="1" t="shared" si="192" ref="F574:F588">IF(D574=" "," ",OFFSET(Cost_1_4,E574,0))</f>
        <v> </v>
      </c>
      <c r="G574" s="122">
        <f>IF(D574&lt;&gt;" ",MATCH(D574,Talents!B$3:B$278,1),0)</f>
        <v>0</v>
      </c>
      <c r="H574" s="122" t="str">
        <f ca="1">IF(G574=0," ",OFFSET(Talents!C$2,G574,0))</f>
        <v> </v>
      </c>
      <c r="I574" s="122" t="str">
        <f ca="1">IF(G574=0," ",OFFSET(Talents!D$2,G574,0))</f>
        <v> </v>
      </c>
      <c r="J574" s="122" t="str">
        <f aca="true" t="shared" si="193" ref="J574:J588">IF(G574&gt;0,H574&amp;IF(I574&gt;0,"+"&amp;I574,"")," ")</f>
        <v> </v>
      </c>
      <c r="K574" s="122">
        <f aca="true" t="shared" si="194" ref="K574:K588">IF(E574&gt;0,P54,0)</f>
        <v>0</v>
      </c>
      <c r="L574" s="122" t="str">
        <f t="shared" si="174"/>
        <v> </v>
      </c>
      <c r="M574" s="122" t="str">
        <f ca="1" t="shared" si="183"/>
        <v>-</v>
      </c>
      <c r="N574" s="112" t="b">
        <v>0</v>
      </c>
      <c r="O574" s="122" t="str">
        <f ca="1">IF(G574&gt;0,IF(N574,"D",OFFSET(Talents!E$2,G574,0))&amp;OFFSET(Talents!F$2,G574,0)," ")</f>
        <v> </v>
      </c>
      <c r="P574" s="122" t="b">
        <f aca="true" t="shared" si="195" ref="P574:P588">AND(D574&lt;&gt;" ",E574&lt;&gt;0)</f>
        <v>0</v>
      </c>
      <c r="Q574" s="169">
        <f t="shared" si="184"/>
        <v>0</v>
      </c>
      <c r="R574" s="215"/>
      <c r="S574"/>
      <c r="T574"/>
      <c r="U574" s="214"/>
      <c r="V574" s="214"/>
      <c r="W574" s="169">
        <f t="shared" si="164"/>
        <v>0</v>
      </c>
      <c r="X574" s="168">
        <f t="shared" si="165"/>
        <v>0</v>
      </c>
      <c r="Y574" s="168">
        <f t="shared" si="166"/>
        <v>0</v>
      </c>
      <c r="Z574" s="215">
        <f t="shared" si="167"/>
        <v>0</v>
      </c>
      <c r="AA574" s="169" t="b">
        <f t="shared" si="175"/>
        <v>0</v>
      </c>
      <c r="AB574" s="168" t="b">
        <f t="shared" si="176"/>
        <v>0</v>
      </c>
      <c r="AC574" s="168" t="b">
        <f t="shared" si="177"/>
        <v>0</v>
      </c>
      <c r="AD574" s="215" t="b">
        <f t="shared" si="178"/>
        <v>0</v>
      </c>
      <c r="AI574" s="170" t="str">
        <f t="shared" si="161"/>
        <v> </v>
      </c>
      <c r="AJ574" s="168">
        <f t="shared" si="162"/>
        <v>0</v>
      </c>
      <c r="AK574" s="168">
        <f ca="1" t="shared" si="173"/>
        <v>0</v>
      </c>
      <c r="AL574" s="168">
        <f t="shared" si="189"/>
        <v>0</v>
      </c>
      <c r="AM574" s="215"/>
      <c r="AN574" s="170" t="str">
        <f t="shared" si="168"/>
        <v>Creature Analysis</v>
      </c>
      <c r="AO574" s="168">
        <f t="shared" si="169"/>
        <v>0</v>
      </c>
      <c r="AP574" s="168">
        <f ca="1" t="shared" si="170"/>
        <v>0</v>
      </c>
      <c r="AQ574" s="168" t="str">
        <f t="shared" si="171"/>
        <v>P</v>
      </c>
      <c r="AR574" s="168">
        <f t="shared" si="172"/>
        <v>0</v>
      </c>
      <c r="AS574" s="215"/>
      <c r="BQ574" s="211">
        <f t="shared" si="185"/>
        <v>76</v>
      </c>
      <c r="BR574" s="249" t="str">
        <f t="shared" si="179"/>
        <v>Fishnet (5 sq. ft.)</v>
      </c>
      <c r="BS574" s="168">
        <f t="shared" si="180"/>
        <v>0</v>
      </c>
      <c r="BT574" s="168">
        <f t="shared" si="181"/>
        <v>15</v>
      </c>
      <c r="BU574" s="168">
        <f t="shared" si="182"/>
        <v>10</v>
      </c>
      <c r="BV574" s="249" t="e">
        <f t="shared" si="124"/>
        <v>#VALUE!</v>
      </c>
      <c r="BW574" s="249" t="str">
        <f t="shared" si="125"/>
        <v>Fishnet (5 sq. ft.)</v>
      </c>
      <c r="BX574" s="249">
        <f t="shared" si="188"/>
        <v>0</v>
      </c>
      <c r="BY574" s="168">
        <f t="shared" si="186"/>
        <v>0</v>
      </c>
      <c r="BZ574" s="171"/>
    </row>
    <row r="575" spans="2:78" ht="12.75">
      <c r="B575" s="137">
        <v>2</v>
      </c>
      <c r="C575" s="112"/>
      <c r="D575" s="119" t="str">
        <f t="shared" si="190"/>
        <v> </v>
      </c>
      <c r="E575" s="122">
        <f t="shared" si="191"/>
        <v>0</v>
      </c>
      <c r="F575" s="134" t="str">
        <f ca="1" t="shared" si="192"/>
        <v> </v>
      </c>
      <c r="G575" s="122">
        <f>IF(D575&lt;&gt;" ",MATCH(D575,Talents!B$3:B$278,1),0)</f>
        <v>0</v>
      </c>
      <c r="H575" s="122" t="str">
        <f ca="1">IF(G575=0," ",OFFSET(Talents!C$2,G575,0))</f>
        <v> </v>
      </c>
      <c r="I575" s="122" t="str">
        <f ca="1">IF(G575=0," ",OFFSET(Talents!D$2,G575,0))</f>
        <v> </v>
      </c>
      <c r="J575" s="122" t="str">
        <f t="shared" si="193"/>
        <v> </v>
      </c>
      <c r="K575" s="122">
        <f t="shared" si="194"/>
        <v>0</v>
      </c>
      <c r="L575" s="122" t="str">
        <f t="shared" si="174"/>
        <v> </v>
      </c>
      <c r="M575" s="122" t="str">
        <f ca="1" t="shared" si="183"/>
        <v>-</v>
      </c>
      <c r="N575" s="112" t="b">
        <v>0</v>
      </c>
      <c r="O575" s="122" t="str">
        <f ca="1">IF(G575&gt;0,IF(N575,"D",OFFSET(Talents!E$2,G575,0))&amp;OFFSET(Talents!F$2,G575,0)," ")</f>
        <v> </v>
      </c>
      <c r="P575" s="122" t="b">
        <f t="shared" si="195"/>
        <v>0</v>
      </c>
      <c r="Q575" s="169">
        <f t="shared" si="184"/>
        <v>0</v>
      </c>
      <c r="R575" s="215"/>
      <c r="S575"/>
      <c r="T575"/>
      <c r="U575" s="214"/>
      <c r="V575" s="214"/>
      <c r="W575" s="169">
        <f t="shared" si="164"/>
        <v>0</v>
      </c>
      <c r="X575" s="168">
        <f t="shared" si="165"/>
        <v>0</v>
      </c>
      <c r="Y575" s="168">
        <f t="shared" si="166"/>
        <v>0</v>
      </c>
      <c r="Z575" s="215">
        <f t="shared" si="167"/>
        <v>0</v>
      </c>
      <c r="AA575" s="169" t="b">
        <f t="shared" si="175"/>
        <v>0</v>
      </c>
      <c r="AB575" s="168" t="b">
        <f t="shared" si="176"/>
        <v>0</v>
      </c>
      <c r="AC575" s="168" t="b">
        <f t="shared" si="177"/>
        <v>0</v>
      </c>
      <c r="AD575" s="215" t="b">
        <f t="shared" si="178"/>
        <v>0</v>
      </c>
      <c r="AI575" s="170" t="str">
        <f t="shared" si="161"/>
        <v> </v>
      </c>
      <c r="AJ575" s="168">
        <f t="shared" si="162"/>
        <v>0</v>
      </c>
      <c r="AK575" s="168">
        <f ca="1" t="shared" si="173"/>
        <v>0</v>
      </c>
      <c r="AL575" s="168">
        <f t="shared" si="189"/>
        <v>0</v>
      </c>
      <c r="AM575" s="215"/>
      <c r="AN575" s="170" t="str">
        <f t="shared" si="168"/>
        <v>Critical Hit</v>
      </c>
      <c r="AO575" s="168">
        <f t="shared" si="169"/>
        <v>0</v>
      </c>
      <c r="AP575" s="168">
        <f ca="1" t="shared" si="170"/>
        <v>0</v>
      </c>
      <c r="AQ575" s="168">
        <f t="shared" si="171"/>
      </c>
      <c r="AR575" s="168">
        <f t="shared" si="172"/>
        <v>0</v>
      </c>
      <c r="AS575" s="215"/>
      <c r="BQ575" s="211">
        <f t="shared" si="185"/>
        <v>77</v>
      </c>
      <c r="BR575" s="249" t="str">
        <f t="shared" si="179"/>
        <v>Flint and Steel</v>
      </c>
      <c r="BS575" s="168">
        <f t="shared" si="180"/>
        <v>0</v>
      </c>
      <c r="BT575" s="168">
        <f t="shared" si="181"/>
        <v>1</v>
      </c>
      <c r="BU575" s="168">
        <f t="shared" si="182"/>
        <v>1</v>
      </c>
      <c r="BV575" s="249" t="e">
        <f t="shared" si="124"/>
        <v>#VALUE!</v>
      </c>
      <c r="BW575" s="249" t="str">
        <f t="shared" si="125"/>
        <v>Flint and Steel</v>
      </c>
      <c r="BX575" s="249">
        <f t="shared" si="188"/>
        <v>0</v>
      </c>
      <c r="BY575" s="168">
        <f t="shared" si="186"/>
        <v>0</v>
      </c>
      <c r="BZ575" s="171"/>
    </row>
    <row r="576" spans="2:78" ht="12.75">
      <c r="B576" s="137">
        <v>3</v>
      </c>
      <c r="C576" s="112"/>
      <c r="D576" s="119" t="str">
        <f t="shared" si="190"/>
        <v> </v>
      </c>
      <c r="E576" s="122">
        <f t="shared" si="191"/>
        <v>0</v>
      </c>
      <c r="F576" s="134" t="str">
        <f ca="1" t="shared" si="192"/>
        <v> </v>
      </c>
      <c r="G576" s="122">
        <f>IF(D576&lt;&gt;" ",MATCH(D576,Talents!B$3:B$278,1),0)</f>
        <v>0</v>
      </c>
      <c r="H576" s="122" t="str">
        <f ca="1">IF(G576=0," ",OFFSET(Talents!C$2,G576,0))</f>
        <v> </v>
      </c>
      <c r="I576" s="122" t="str">
        <f ca="1">IF(G576=0," ",OFFSET(Talents!D$2,G576,0))</f>
        <v> </v>
      </c>
      <c r="J576" s="122" t="str">
        <f t="shared" si="193"/>
        <v> </v>
      </c>
      <c r="K576" s="122">
        <f t="shared" si="194"/>
        <v>0</v>
      </c>
      <c r="L576" s="122" t="str">
        <f t="shared" si="174"/>
        <v> </v>
      </c>
      <c r="M576" s="122" t="str">
        <f ca="1" t="shared" si="183"/>
        <v>-</v>
      </c>
      <c r="N576" s="112" t="b">
        <v>0</v>
      </c>
      <c r="O576" s="122" t="str">
        <f ca="1">IF(G576&gt;0,IF(N576,"D",OFFSET(Talents!E$2,G576,0))&amp;OFFSET(Talents!F$2,G576,0)," ")</f>
        <v> </v>
      </c>
      <c r="P576" s="122" t="b">
        <f t="shared" si="195"/>
        <v>0</v>
      </c>
      <c r="Q576" s="169">
        <f t="shared" si="184"/>
        <v>0</v>
      </c>
      <c r="R576" s="215"/>
      <c r="S576"/>
      <c r="T576"/>
      <c r="U576" s="214"/>
      <c r="V576" s="214"/>
      <c r="W576" s="169">
        <f t="shared" si="164"/>
        <v>0</v>
      </c>
      <c r="X576" s="168">
        <f t="shared" si="165"/>
        <v>0</v>
      </c>
      <c r="Y576" s="168">
        <f t="shared" si="166"/>
        <v>0</v>
      </c>
      <c r="Z576" s="215">
        <f t="shared" si="167"/>
        <v>0</v>
      </c>
      <c r="AA576" s="169" t="b">
        <f t="shared" si="175"/>
        <v>0</v>
      </c>
      <c r="AB576" s="168" t="b">
        <f t="shared" si="176"/>
        <v>0</v>
      </c>
      <c r="AC576" s="168" t="b">
        <f t="shared" si="177"/>
        <v>0</v>
      </c>
      <c r="AD576" s="215" t="b">
        <f t="shared" si="178"/>
        <v>0</v>
      </c>
      <c r="AI576" s="170" t="str">
        <f t="shared" si="161"/>
        <v> </v>
      </c>
      <c r="AJ576" s="168">
        <f t="shared" si="162"/>
        <v>0</v>
      </c>
      <c r="AK576" s="168">
        <f ca="1" t="shared" si="173"/>
        <v>0</v>
      </c>
      <c r="AL576" s="168">
        <f t="shared" si="189"/>
        <v>0</v>
      </c>
      <c r="AM576" s="215"/>
      <c r="AN576" s="170" t="str">
        <f t="shared" si="168"/>
        <v>Dead Fall</v>
      </c>
      <c r="AO576" s="168">
        <f t="shared" si="169"/>
        <v>0</v>
      </c>
      <c r="AP576" s="168">
        <f ca="1" t="shared" si="170"/>
        <v>0</v>
      </c>
      <c r="AQ576" s="168" t="str">
        <f t="shared" si="171"/>
        <v>W</v>
      </c>
      <c r="AR576" s="168">
        <f t="shared" si="172"/>
        <v>0</v>
      </c>
      <c r="AS576" s="215"/>
      <c r="BQ576" s="211">
        <f t="shared" si="185"/>
        <v>78</v>
      </c>
      <c r="BR576" s="249" t="str">
        <f t="shared" si="179"/>
        <v>Forge Tools</v>
      </c>
      <c r="BS576" s="168">
        <f t="shared" si="180"/>
        <v>0</v>
      </c>
      <c r="BT576" s="168">
        <f t="shared" si="181"/>
        <v>100</v>
      </c>
      <c r="BU576" s="168">
        <f t="shared" si="182"/>
        <v>20</v>
      </c>
      <c r="BV576" s="249" t="e">
        <f t="shared" si="124"/>
        <v>#VALUE!</v>
      </c>
      <c r="BW576" s="249" t="str">
        <f t="shared" si="125"/>
        <v>Forge Tools</v>
      </c>
      <c r="BX576" s="249">
        <f t="shared" si="188"/>
        <v>0</v>
      </c>
      <c r="BY576" s="168">
        <f t="shared" si="186"/>
        <v>0</v>
      </c>
      <c r="BZ576" s="171"/>
    </row>
    <row r="577" spans="2:78" ht="12.75">
      <c r="B577" s="137">
        <v>4</v>
      </c>
      <c r="C577" s="112"/>
      <c r="D577" s="119" t="str">
        <f t="shared" si="190"/>
        <v> </v>
      </c>
      <c r="E577" s="122">
        <f t="shared" si="191"/>
        <v>0</v>
      </c>
      <c r="F577" s="134" t="str">
        <f ca="1" t="shared" si="192"/>
        <v> </v>
      </c>
      <c r="G577" s="122">
        <f>IF(D577&lt;&gt;" ",MATCH(D577,Talents!B$3:B$278,1),0)</f>
        <v>0</v>
      </c>
      <c r="H577" s="122" t="str">
        <f ca="1">IF(G577=0," ",OFFSET(Talents!C$2,G577,0))</f>
        <v> </v>
      </c>
      <c r="I577" s="122" t="str">
        <f ca="1">IF(G577=0," ",OFFSET(Talents!D$2,G577,0))</f>
        <v> </v>
      </c>
      <c r="J577" s="122" t="str">
        <f t="shared" si="193"/>
        <v> </v>
      </c>
      <c r="K577" s="122">
        <f t="shared" si="194"/>
        <v>0</v>
      </c>
      <c r="L577" s="122" t="str">
        <f t="shared" si="174"/>
        <v> </v>
      </c>
      <c r="M577" s="122" t="str">
        <f ca="1" t="shared" si="183"/>
        <v>-</v>
      </c>
      <c r="N577" s="112" t="b">
        <v>0</v>
      </c>
      <c r="O577" s="122" t="str">
        <f ca="1">IF(G577&gt;0,IF(N577,"D",OFFSET(Talents!E$2,G577,0))&amp;OFFSET(Talents!F$2,G577,0)," ")</f>
        <v> </v>
      </c>
      <c r="P577" s="122" t="b">
        <f t="shared" si="195"/>
        <v>0</v>
      </c>
      <c r="Q577" s="169">
        <f t="shared" si="184"/>
        <v>0</v>
      </c>
      <c r="R577" s="215"/>
      <c r="S577"/>
      <c r="T577"/>
      <c r="U577" s="214"/>
      <c r="V577" s="214"/>
      <c r="W577" s="169">
        <f t="shared" si="164"/>
        <v>0</v>
      </c>
      <c r="X577" s="168">
        <f t="shared" si="165"/>
        <v>0</v>
      </c>
      <c r="Y577" s="168">
        <f t="shared" si="166"/>
        <v>0</v>
      </c>
      <c r="Z577" s="215">
        <f t="shared" si="167"/>
        <v>0</v>
      </c>
      <c r="AA577" s="169" t="b">
        <f t="shared" si="175"/>
        <v>0</v>
      </c>
      <c r="AB577" s="168" t="b">
        <f t="shared" si="176"/>
        <v>0</v>
      </c>
      <c r="AC577" s="168" t="b">
        <f t="shared" si="177"/>
        <v>0</v>
      </c>
      <c r="AD577" s="215" t="b">
        <f t="shared" si="178"/>
        <v>0</v>
      </c>
      <c r="AI577" s="170" t="str">
        <f t="shared" si="161"/>
        <v> </v>
      </c>
      <c r="AJ577" s="168">
        <f t="shared" si="162"/>
        <v>0</v>
      </c>
      <c r="AK577" s="168">
        <f ca="1" t="shared" si="173"/>
        <v>0</v>
      </c>
      <c r="AL577" s="168">
        <f t="shared" si="189"/>
        <v>0</v>
      </c>
      <c r="AM577" s="215"/>
      <c r="AN577" s="170" t="str">
        <f t="shared" si="168"/>
        <v>Detect Trap</v>
      </c>
      <c r="AO577" s="168">
        <f t="shared" si="169"/>
        <v>0</v>
      </c>
      <c r="AP577" s="168">
        <f ca="1" t="shared" si="170"/>
        <v>0</v>
      </c>
      <c r="AQ577" s="168" t="str">
        <f t="shared" si="171"/>
        <v>P</v>
      </c>
      <c r="AR577" s="168">
        <f t="shared" si="172"/>
        <v>0</v>
      </c>
      <c r="AS577" s="215"/>
      <c r="BQ577" s="211">
        <f t="shared" si="185"/>
        <v>79</v>
      </c>
      <c r="BR577" s="249" t="str">
        <f t="shared" si="179"/>
        <v>Grappling Hook</v>
      </c>
      <c r="BS577" s="168">
        <f t="shared" si="180"/>
        <v>0</v>
      </c>
      <c r="BT577" s="168">
        <f t="shared" si="181"/>
        <v>10</v>
      </c>
      <c r="BU577" s="168">
        <f t="shared" si="182"/>
        <v>5</v>
      </c>
      <c r="BV577" s="249" t="e">
        <f t="shared" si="124"/>
        <v>#VALUE!</v>
      </c>
      <c r="BW577" s="249" t="str">
        <f t="shared" si="125"/>
        <v>Grappling Hook</v>
      </c>
      <c r="BX577" s="249">
        <f t="shared" si="188"/>
        <v>0</v>
      </c>
      <c r="BY577" s="168">
        <f t="shared" si="186"/>
        <v>0</v>
      </c>
      <c r="BZ577" s="171"/>
    </row>
    <row r="578" spans="2:78" ht="12.75">
      <c r="B578" s="137">
        <v>5</v>
      </c>
      <c r="C578" s="112"/>
      <c r="D578" s="119" t="str">
        <f t="shared" si="190"/>
        <v> </v>
      </c>
      <c r="E578" s="122">
        <f t="shared" si="191"/>
        <v>0</v>
      </c>
      <c r="F578" s="134" t="str">
        <f ca="1" t="shared" si="192"/>
        <v> </v>
      </c>
      <c r="G578" s="122">
        <f>IF(D578&lt;&gt;" ",MATCH(D578,Talents!B$3:B$278,1),0)</f>
        <v>0</v>
      </c>
      <c r="H578" s="122" t="str">
        <f ca="1">IF(G578=0," ",OFFSET(Talents!C$2,G578,0))</f>
        <v> </v>
      </c>
      <c r="I578" s="122" t="str">
        <f ca="1">IF(G578=0," ",OFFSET(Talents!D$2,G578,0))</f>
        <v> </v>
      </c>
      <c r="J578" s="122" t="str">
        <f t="shared" si="193"/>
        <v> </v>
      </c>
      <c r="K578" s="122">
        <f t="shared" si="194"/>
        <v>0</v>
      </c>
      <c r="L578" s="122" t="str">
        <f t="shared" si="174"/>
        <v> </v>
      </c>
      <c r="M578" s="122" t="str">
        <f ca="1" t="shared" si="183"/>
        <v>-</v>
      </c>
      <c r="N578" s="112" t="b">
        <v>0</v>
      </c>
      <c r="O578" s="122" t="str">
        <f ca="1">IF(G578&gt;0,IF(N578,"D",OFFSET(Talents!E$2,G578,0))&amp;OFFSET(Talents!F$2,G578,0)," ")</f>
        <v> </v>
      </c>
      <c r="P578" s="122" t="b">
        <f t="shared" si="195"/>
        <v>0</v>
      </c>
      <c r="Q578" s="169">
        <f t="shared" si="184"/>
        <v>0</v>
      </c>
      <c r="R578" s="215"/>
      <c r="S578"/>
      <c r="T578"/>
      <c r="U578" s="214"/>
      <c r="V578" s="214"/>
      <c r="W578" s="169">
        <f t="shared" si="164"/>
        <v>0</v>
      </c>
      <c r="X578" s="168">
        <f t="shared" si="165"/>
        <v>0</v>
      </c>
      <c r="Y578" s="168">
        <f t="shared" si="166"/>
        <v>0</v>
      </c>
      <c r="Z578" s="215">
        <f t="shared" si="167"/>
        <v>0</v>
      </c>
      <c r="AA578" s="169" t="b">
        <f t="shared" si="175"/>
        <v>0</v>
      </c>
      <c r="AB578" s="168" t="b">
        <f t="shared" si="176"/>
        <v>0</v>
      </c>
      <c r="AC578" s="168" t="b">
        <f t="shared" si="177"/>
        <v>0</v>
      </c>
      <c r="AD578" s="215" t="b">
        <f t="shared" si="178"/>
        <v>0</v>
      </c>
      <c r="AI578" s="170" t="str">
        <f t="shared" si="161"/>
        <v> </v>
      </c>
      <c r="AJ578" s="168">
        <f t="shared" si="162"/>
        <v>0</v>
      </c>
      <c r="AK578" s="168">
        <f ca="1" t="shared" si="173"/>
        <v>0</v>
      </c>
      <c r="AL578" s="168">
        <f t="shared" si="189"/>
        <v>0</v>
      </c>
      <c r="AM578" s="215"/>
      <c r="AN578" s="170" t="str">
        <f t="shared" si="168"/>
        <v>Detect Weapon</v>
      </c>
      <c r="AO578" s="168">
        <f t="shared" si="169"/>
        <v>0</v>
      </c>
      <c r="AP578" s="168">
        <f ca="1" t="shared" si="170"/>
        <v>0</v>
      </c>
      <c r="AQ578" s="168" t="str">
        <f t="shared" si="171"/>
        <v>P</v>
      </c>
      <c r="AR578" s="168">
        <f t="shared" si="172"/>
        <v>0</v>
      </c>
      <c r="AS578" s="215"/>
      <c r="BQ578" s="211">
        <f t="shared" si="185"/>
        <v>80</v>
      </c>
      <c r="BR578" s="249" t="str">
        <f t="shared" si="179"/>
        <v>Healer Kit</v>
      </c>
      <c r="BS578" s="168">
        <f t="shared" si="180"/>
        <v>0</v>
      </c>
      <c r="BT578" s="168">
        <f t="shared" si="181"/>
        <v>75</v>
      </c>
      <c r="BU578" s="168">
        <f t="shared" si="182"/>
        <v>5</v>
      </c>
      <c r="BV578" s="249" t="e">
        <f t="shared" si="124"/>
        <v>#VALUE!</v>
      </c>
      <c r="BW578" s="249" t="str">
        <f t="shared" si="125"/>
        <v>Healer Kit</v>
      </c>
      <c r="BX578" s="249">
        <f t="shared" si="188"/>
        <v>0</v>
      </c>
      <c r="BY578" s="168">
        <f t="shared" si="186"/>
        <v>0</v>
      </c>
      <c r="BZ578" s="171"/>
    </row>
    <row r="579" spans="2:78" ht="12.75">
      <c r="B579" s="137">
        <v>6</v>
      </c>
      <c r="C579" s="112"/>
      <c r="D579" s="119" t="str">
        <f t="shared" si="190"/>
        <v> </v>
      </c>
      <c r="E579" s="122">
        <f t="shared" si="191"/>
        <v>0</v>
      </c>
      <c r="F579" s="134" t="str">
        <f ca="1" t="shared" si="192"/>
        <v> </v>
      </c>
      <c r="G579" s="122">
        <f>IF(D579&lt;&gt;" ",MATCH(D579,Talents!B$3:B$278,1),0)</f>
        <v>0</v>
      </c>
      <c r="H579" s="122" t="str">
        <f ca="1">IF(G579=0," ",OFFSET(Talents!C$2,G579,0))</f>
        <v> </v>
      </c>
      <c r="I579" s="122" t="str">
        <f ca="1">IF(G579=0," ",OFFSET(Talents!D$2,G579,0))</f>
        <v> </v>
      </c>
      <c r="J579" s="122" t="str">
        <f t="shared" si="193"/>
        <v> </v>
      </c>
      <c r="K579" s="122">
        <f t="shared" si="194"/>
        <v>0</v>
      </c>
      <c r="L579" s="122" t="str">
        <f t="shared" si="174"/>
        <v> </v>
      </c>
      <c r="M579" s="122" t="str">
        <f ca="1" t="shared" si="183"/>
        <v>-</v>
      </c>
      <c r="N579" s="112" t="b">
        <v>0</v>
      </c>
      <c r="O579" s="122" t="str">
        <f ca="1">IF(G579&gt;0,IF(N579,"D",OFFSET(Talents!E$2,G579,0))&amp;OFFSET(Talents!F$2,G579,0)," ")</f>
        <v> </v>
      </c>
      <c r="P579" s="122" t="b">
        <f t="shared" si="195"/>
        <v>0</v>
      </c>
      <c r="Q579" s="169">
        <f t="shared" si="184"/>
        <v>0</v>
      </c>
      <c r="R579" s="215"/>
      <c r="S579"/>
      <c r="T579"/>
      <c r="U579" s="214"/>
      <c r="V579" s="214"/>
      <c r="W579" s="169">
        <f t="shared" si="164"/>
        <v>0</v>
      </c>
      <c r="X579" s="168">
        <f t="shared" si="165"/>
        <v>0</v>
      </c>
      <c r="Y579" s="168">
        <f t="shared" si="166"/>
        <v>0</v>
      </c>
      <c r="Z579" s="215">
        <f t="shared" si="167"/>
        <v>0</v>
      </c>
      <c r="AA579" s="169" t="b">
        <f t="shared" si="175"/>
        <v>0</v>
      </c>
      <c r="AB579" s="168" t="b">
        <f t="shared" si="176"/>
        <v>0</v>
      </c>
      <c r="AC579" s="168" t="b">
        <f t="shared" si="177"/>
        <v>0</v>
      </c>
      <c r="AD579" s="215" t="b">
        <f t="shared" si="178"/>
        <v>0</v>
      </c>
      <c r="AI579" s="170" t="str">
        <f t="shared" si="161"/>
        <v> </v>
      </c>
      <c r="AJ579" s="168">
        <f t="shared" si="162"/>
        <v>0</v>
      </c>
      <c r="AK579" s="168">
        <f ca="1" t="shared" si="173"/>
        <v>0</v>
      </c>
      <c r="AL579" s="168">
        <f t="shared" si="189"/>
        <v>0</v>
      </c>
      <c r="AM579" s="215"/>
      <c r="AN579" s="170" t="str">
        <f t="shared" si="168"/>
        <v>Evaluate</v>
      </c>
      <c r="AO579" s="168">
        <f t="shared" si="169"/>
        <v>0</v>
      </c>
      <c r="AP579" s="168">
        <f ca="1" t="shared" si="170"/>
        <v>0</v>
      </c>
      <c r="AQ579" s="168" t="str">
        <f t="shared" si="171"/>
        <v>P</v>
      </c>
      <c r="AR579" s="168">
        <f t="shared" si="172"/>
        <v>0</v>
      </c>
      <c r="AS579" s="215"/>
      <c r="BQ579" s="211">
        <f t="shared" si="185"/>
        <v>81</v>
      </c>
      <c r="BR579" s="249" t="str">
        <f t="shared" si="179"/>
        <v>Healer Kit, refill</v>
      </c>
      <c r="BS579" s="168">
        <f t="shared" si="180"/>
        <v>0</v>
      </c>
      <c r="BT579" s="168">
        <f t="shared" si="181"/>
        <v>50</v>
      </c>
      <c r="BU579" s="168">
        <f t="shared" si="182"/>
        <v>0</v>
      </c>
      <c r="BV579" s="249">
        <f t="shared" si="124"/>
        <v>11</v>
      </c>
      <c r="BW579" s="249" t="str">
        <f t="shared" si="125"/>
        <v>refill Healer Kit</v>
      </c>
      <c r="BX579" s="249">
        <f t="shared" si="188"/>
        <v>0</v>
      </c>
      <c r="BY579" s="168">
        <f t="shared" si="186"/>
        <v>0</v>
      </c>
      <c r="BZ579" s="171"/>
    </row>
    <row r="580" spans="2:78" ht="12.75">
      <c r="B580" s="137">
        <v>7</v>
      </c>
      <c r="C580" s="112"/>
      <c r="D580" s="119" t="str">
        <f t="shared" si="190"/>
        <v> </v>
      </c>
      <c r="E580" s="122">
        <f t="shared" si="191"/>
        <v>0</v>
      </c>
      <c r="F580" s="134" t="str">
        <f ca="1" t="shared" si="192"/>
        <v> </v>
      </c>
      <c r="G580" s="122">
        <f>IF(D580&lt;&gt;" ",MATCH(D580,Talents!B$3:B$278,1),0)</f>
        <v>0</v>
      </c>
      <c r="H580" s="122" t="str">
        <f ca="1">IF(G580=0," ",OFFSET(Talents!C$2,G580,0))</f>
        <v> </v>
      </c>
      <c r="I580" s="122" t="str">
        <f ca="1">IF(G580=0," ",OFFSET(Talents!D$2,G580,0))</f>
        <v> </v>
      </c>
      <c r="J580" s="122" t="str">
        <f t="shared" si="193"/>
        <v> </v>
      </c>
      <c r="K580" s="122">
        <f t="shared" si="194"/>
        <v>0</v>
      </c>
      <c r="L580" s="122" t="str">
        <f t="shared" si="174"/>
        <v> </v>
      </c>
      <c r="M580" s="122" t="str">
        <f ca="1" t="shared" si="183"/>
        <v>-</v>
      </c>
      <c r="N580" s="112" t="b">
        <v>0</v>
      </c>
      <c r="O580" s="122" t="str">
        <f ca="1">IF(G580&gt;0,IF(N580,"D",OFFSET(Talents!E$2,G580,0))&amp;OFFSET(Talents!F$2,G580,0)," ")</f>
        <v> </v>
      </c>
      <c r="P580" s="122" t="b">
        <f t="shared" si="195"/>
        <v>0</v>
      </c>
      <c r="Q580" s="169">
        <f t="shared" si="184"/>
        <v>0</v>
      </c>
      <c r="R580" s="215"/>
      <c r="S580"/>
      <c r="T580"/>
      <c r="U580" s="214"/>
      <c r="V580" s="214"/>
      <c r="W580" s="169">
        <f t="shared" si="164"/>
        <v>0</v>
      </c>
      <c r="X580" s="168">
        <f t="shared" si="165"/>
        <v>0</v>
      </c>
      <c r="Y580" s="168">
        <f t="shared" si="166"/>
        <v>0</v>
      </c>
      <c r="Z580" s="215">
        <f t="shared" si="167"/>
        <v>0</v>
      </c>
      <c r="AA580" s="169" t="b">
        <f t="shared" si="175"/>
        <v>0</v>
      </c>
      <c r="AB580" s="168" t="b">
        <f t="shared" si="176"/>
        <v>0</v>
      </c>
      <c r="AC580" s="168" t="b">
        <f t="shared" si="177"/>
        <v>0</v>
      </c>
      <c r="AD580" s="215" t="b">
        <f t="shared" si="178"/>
        <v>0</v>
      </c>
      <c r="AI580" s="170" t="str">
        <f t="shared" si="161"/>
        <v> </v>
      </c>
      <c r="AJ580" s="168">
        <f t="shared" si="162"/>
        <v>0</v>
      </c>
      <c r="AK580" s="168">
        <f ca="1" t="shared" si="173"/>
        <v>0</v>
      </c>
      <c r="AL580" s="168">
        <f t="shared" si="189"/>
        <v>0</v>
      </c>
      <c r="AM580" s="215"/>
      <c r="AN580" s="170" t="str">
        <f t="shared" si="168"/>
        <v>Evidence Analysis</v>
      </c>
      <c r="AO580" s="168">
        <f t="shared" si="169"/>
        <v>0</v>
      </c>
      <c r="AP580" s="168">
        <f ca="1" t="shared" si="170"/>
        <v>0</v>
      </c>
      <c r="AQ580" s="168" t="str">
        <f t="shared" si="171"/>
        <v>P</v>
      </c>
      <c r="AR580" s="168">
        <f aca="true" t="shared" si="196" ref="AR580:AR637">AR579+IF(AND(AN580&lt;&gt;" ",AO580&gt;0),1,0)</f>
        <v>0</v>
      </c>
      <c r="AS580" s="215"/>
      <c r="BQ580" s="211">
        <f t="shared" si="185"/>
        <v>82</v>
      </c>
      <c r="BR580" s="249" t="str">
        <f t="shared" si="179"/>
        <v>Insect Repellent</v>
      </c>
      <c r="BS580" s="168">
        <f t="shared" si="180"/>
        <v>0</v>
      </c>
      <c r="BT580" s="168">
        <f t="shared" si="181"/>
        <v>10</v>
      </c>
      <c r="BU580" s="168">
        <f t="shared" si="182"/>
        <v>1</v>
      </c>
      <c r="BV580" s="249" t="e">
        <f t="shared" si="124"/>
        <v>#VALUE!</v>
      </c>
      <c r="BW580" s="249" t="str">
        <f t="shared" si="125"/>
        <v>Insect Repellent</v>
      </c>
      <c r="BX580" s="249">
        <f t="shared" si="188"/>
        <v>0</v>
      </c>
      <c r="BY580" s="168">
        <f t="shared" si="186"/>
        <v>0</v>
      </c>
      <c r="BZ580" s="171"/>
    </row>
    <row r="581" spans="2:78" ht="12.75">
      <c r="B581" s="137">
        <v>8</v>
      </c>
      <c r="C581" s="112"/>
      <c r="D581" s="119" t="str">
        <f t="shared" si="190"/>
        <v> </v>
      </c>
      <c r="E581" s="122">
        <f t="shared" si="191"/>
        <v>0</v>
      </c>
      <c r="F581" s="134" t="str">
        <f ca="1" t="shared" si="192"/>
        <v> </v>
      </c>
      <c r="G581" s="122">
        <f>IF(D581&lt;&gt;" ",MATCH(D581,Talents!B$3:B$278,1),0)</f>
        <v>0</v>
      </c>
      <c r="H581" s="122" t="str">
        <f ca="1">IF(G581=0," ",OFFSET(Talents!C$2,G581,0))</f>
        <v> </v>
      </c>
      <c r="I581" s="122" t="str">
        <f ca="1">IF(G581=0," ",OFFSET(Talents!D$2,G581,0))</f>
        <v> </v>
      </c>
      <c r="J581" s="122" t="str">
        <f t="shared" si="193"/>
        <v> </v>
      </c>
      <c r="K581" s="122">
        <f t="shared" si="194"/>
        <v>0</v>
      </c>
      <c r="L581" s="122" t="str">
        <f t="shared" si="174"/>
        <v> </v>
      </c>
      <c r="M581" s="122" t="str">
        <f ca="1" t="shared" si="183"/>
        <v>-</v>
      </c>
      <c r="N581" s="112" t="b">
        <v>0</v>
      </c>
      <c r="O581" s="122" t="str">
        <f ca="1">IF(G581&gt;0,IF(N581,"D",OFFSET(Talents!E$2,G581,0))&amp;OFFSET(Talents!F$2,G581,0)," ")</f>
        <v> </v>
      </c>
      <c r="P581" s="122" t="b">
        <f t="shared" si="195"/>
        <v>0</v>
      </c>
      <c r="Q581" s="169">
        <f t="shared" si="184"/>
        <v>0</v>
      </c>
      <c r="R581" s="215"/>
      <c r="S581"/>
      <c r="T581"/>
      <c r="U581" s="214"/>
      <c r="V581" s="214"/>
      <c r="W581" s="169">
        <f t="shared" si="164"/>
        <v>0</v>
      </c>
      <c r="X581" s="168">
        <f t="shared" si="165"/>
        <v>0</v>
      </c>
      <c r="Y581" s="168">
        <f t="shared" si="166"/>
        <v>0</v>
      </c>
      <c r="Z581" s="215">
        <f t="shared" si="167"/>
        <v>0</v>
      </c>
      <c r="AA581" s="169" t="b">
        <f t="shared" si="175"/>
        <v>0</v>
      </c>
      <c r="AB581" s="168" t="b">
        <f t="shared" si="176"/>
        <v>0</v>
      </c>
      <c r="AC581" s="168" t="b">
        <f t="shared" si="177"/>
        <v>0</v>
      </c>
      <c r="AD581" s="215" t="b">
        <f t="shared" si="178"/>
        <v>0</v>
      </c>
      <c r="AI581" s="170" t="str">
        <f t="shared" si="161"/>
        <v> </v>
      </c>
      <c r="AJ581" s="168">
        <f t="shared" si="162"/>
        <v>0</v>
      </c>
      <c r="AK581" s="168">
        <f ca="1" t="shared" si="173"/>
        <v>0</v>
      </c>
      <c r="AL581" s="168">
        <f t="shared" si="189"/>
        <v>0</v>
      </c>
      <c r="AM581" s="215"/>
      <c r="AN581" s="170" t="str">
        <f t="shared" si="168"/>
        <v>False Shackles</v>
      </c>
      <c r="AO581" s="168">
        <f t="shared" si="169"/>
        <v>0</v>
      </c>
      <c r="AP581" s="168">
        <f ca="1" t="shared" si="170"/>
        <v>0</v>
      </c>
      <c r="AQ581" s="168" t="str">
        <f t="shared" si="171"/>
        <v>D</v>
      </c>
      <c r="AR581" s="168">
        <f t="shared" si="196"/>
        <v>0</v>
      </c>
      <c r="AS581" s="215"/>
      <c r="BQ581" s="211">
        <f t="shared" si="185"/>
        <v>83</v>
      </c>
      <c r="BR581" s="249" t="str">
        <f t="shared" si="179"/>
        <v>Iron Pot</v>
      </c>
      <c r="BS581" s="168">
        <f t="shared" si="180"/>
        <v>0</v>
      </c>
      <c r="BT581" s="168">
        <f t="shared" si="181"/>
        <v>20</v>
      </c>
      <c r="BU581" s="168">
        <f t="shared" si="182"/>
        <v>8</v>
      </c>
      <c r="BV581" s="249" t="e">
        <f t="shared" si="124"/>
        <v>#VALUE!</v>
      </c>
      <c r="BW581" s="249" t="str">
        <f t="shared" si="125"/>
        <v>Iron Pot</v>
      </c>
      <c r="BX581" s="249">
        <f t="shared" si="188"/>
        <v>0</v>
      </c>
      <c r="BY581" s="168">
        <f t="shared" si="186"/>
        <v>0</v>
      </c>
      <c r="BZ581" s="171"/>
    </row>
    <row r="582" spans="2:78" ht="12.75">
      <c r="B582" s="137">
        <v>9</v>
      </c>
      <c r="C582" s="112"/>
      <c r="D582" s="119" t="str">
        <f t="shared" si="190"/>
        <v> </v>
      </c>
      <c r="E582" s="122">
        <f t="shared" si="191"/>
        <v>0</v>
      </c>
      <c r="F582" s="134" t="str">
        <f ca="1" t="shared" si="192"/>
        <v> </v>
      </c>
      <c r="G582" s="122">
        <f>IF(D582&lt;&gt;" ",MATCH(D582,Talents!B$3:B$278,1),0)</f>
        <v>0</v>
      </c>
      <c r="H582" s="122" t="str">
        <f ca="1">IF(G582=0," ",OFFSET(Talents!C$2,G582,0))</f>
        <v> </v>
      </c>
      <c r="I582" s="122" t="str">
        <f ca="1">IF(G582=0," ",OFFSET(Talents!D$2,G582,0))</f>
        <v> </v>
      </c>
      <c r="J582" s="122" t="str">
        <f t="shared" si="193"/>
        <v> </v>
      </c>
      <c r="K582" s="122">
        <f t="shared" si="194"/>
        <v>0</v>
      </c>
      <c r="L582" s="122" t="str">
        <f t="shared" si="174"/>
        <v> </v>
      </c>
      <c r="M582" s="122" t="str">
        <f ca="1" t="shared" si="183"/>
        <v>-</v>
      </c>
      <c r="N582" s="112" t="b">
        <v>0</v>
      </c>
      <c r="O582" s="122" t="str">
        <f ca="1">IF(G582&gt;0,IF(N582,"D",OFFSET(Talents!E$2,G582,0))&amp;OFFSET(Talents!F$2,G582,0)," ")</f>
        <v> </v>
      </c>
      <c r="P582" s="122" t="b">
        <f t="shared" si="195"/>
        <v>0</v>
      </c>
      <c r="Q582" s="169">
        <f t="shared" si="184"/>
        <v>0</v>
      </c>
      <c r="R582" s="215"/>
      <c r="S582"/>
      <c r="T582"/>
      <c r="U582" s="214"/>
      <c r="V582" s="214"/>
      <c r="W582" s="169">
        <f t="shared" si="164"/>
        <v>0</v>
      </c>
      <c r="X582" s="168">
        <f t="shared" si="165"/>
        <v>0</v>
      </c>
      <c r="Y582" s="168">
        <f t="shared" si="166"/>
        <v>0</v>
      </c>
      <c r="Z582" s="215">
        <f t="shared" si="167"/>
        <v>0</v>
      </c>
      <c r="AA582" s="169" t="b">
        <f t="shared" si="175"/>
        <v>0</v>
      </c>
      <c r="AB582" s="168" t="b">
        <f t="shared" si="176"/>
        <v>0</v>
      </c>
      <c r="AC582" s="168" t="b">
        <f t="shared" si="177"/>
        <v>0</v>
      </c>
      <c r="AD582" s="215" t="b">
        <f t="shared" si="178"/>
        <v>0</v>
      </c>
      <c r="AI582" s="170" t="str">
        <f t="shared" si="161"/>
        <v> </v>
      </c>
      <c r="AJ582" s="168">
        <f t="shared" si="162"/>
        <v>0</v>
      </c>
      <c r="AK582" s="168">
        <f ca="1" t="shared" si="173"/>
        <v>0</v>
      </c>
      <c r="AL582" s="168">
        <f t="shared" si="189"/>
        <v>0</v>
      </c>
      <c r="AM582" s="215"/>
      <c r="AN582" s="170" t="str">
        <f t="shared" si="168"/>
        <v>Fast Hand</v>
      </c>
      <c r="AO582" s="168">
        <f t="shared" si="169"/>
        <v>0</v>
      </c>
      <c r="AP582" s="168">
        <f ca="1" t="shared" si="170"/>
        <v>0</v>
      </c>
      <c r="AQ582" s="168" t="str">
        <f t="shared" si="171"/>
        <v>P</v>
      </c>
      <c r="AR582" s="168">
        <f t="shared" si="196"/>
        <v>0</v>
      </c>
      <c r="AS582" s="215"/>
      <c r="BQ582" s="211">
        <f t="shared" si="185"/>
        <v>84</v>
      </c>
      <c r="BR582" s="249" t="str">
        <f t="shared" si="179"/>
        <v>Lantern, Hooded</v>
      </c>
      <c r="BS582" s="168">
        <f t="shared" si="180"/>
        <v>0</v>
      </c>
      <c r="BT582" s="168">
        <f t="shared" si="181"/>
        <v>9</v>
      </c>
      <c r="BU582" s="168">
        <f t="shared" si="182"/>
        <v>6</v>
      </c>
      <c r="BV582" s="249">
        <f t="shared" si="124"/>
        <v>8</v>
      </c>
      <c r="BW582" s="249" t="str">
        <f t="shared" si="125"/>
        <v>Hooded Lantern</v>
      </c>
      <c r="BX582" s="249">
        <f t="shared" si="188"/>
        <v>0</v>
      </c>
      <c r="BY582" s="168">
        <f t="shared" si="186"/>
        <v>0</v>
      </c>
      <c r="BZ582" s="171"/>
    </row>
    <row r="583" spans="2:78" ht="12.75">
      <c r="B583" s="137">
        <v>10</v>
      </c>
      <c r="C583" s="112"/>
      <c r="D583" s="119" t="str">
        <f t="shared" si="190"/>
        <v> </v>
      </c>
      <c r="E583" s="122">
        <f t="shared" si="191"/>
        <v>0</v>
      </c>
      <c r="F583" s="134" t="str">
        <f ca="1" t="shared" si="192"/>
        <v> </v>
      </c>
      <c r="G583" s="122">
        <f>IF(D583&lt;&gt;" ",MATCH(D583,Talents!B$3:B$278,1),0)</f>
        <v>0</v>
      </c>
      <c r="H583" s="122" t="str">
        <f ca="1">IF(G583=0," ",OFFSET(Talents!C$2,G583,0))</f>
        <v> </v>
      </c>
      <c r="I583" s="122" t="str">
        <f ca="1">IF(G583=0," ",OFFSET(Talents!D$2,G583,0))</f>
        <v> </v>
      </c>
      <c r="J583" s="122" t="str">
        <f t="shared" si="193"/>
        <v> </v>
      </c>
      <c r="K583" s="122">
        <f t="shared" si="194"/>
        <v>0</v>
      </c>
      <c r="L583" s="122" t="str">
        <f t="shared" si="174"/>
        <v> </v>
      </c>
      <c r="M583" s="122" t="str">
        <f ca="1" t="shared" si="183"/>
        <v>-</v>
      </c>
      <c r="N583" s="112" t="b">
        <v>0</v>
      </c>
      <c r="O583" s="122" t="str">
        <f ca="1">IF(G583&gt;0,IF(N583,"D",OFFSET(Talents!E$2,G583,0))&amp;OFFSET(Talents!F$2,G583,0)," ")</f>
        <v> </v>
      </c>
      <c r="P583" s="122" t="b">
        <f t="shared" si="195"/>
        <v>0</v>
      </c>
      <c r="Q583" s="169">
        <f t="shared" si="184"/>
        <v>0</v>
      </c>
      <c r="R583" s="215"/>
      <c r="S583"/>
      <c r="T583"/>
      <c r="U583" s="214"/>
      <c r="V583" s="214"/>
      <c r="W583" s="169">
        <f t="shared" si="164"/>
        <v>0</v>
      </c>
      <c r="X583" s="168">
        <f t="shared" si="165"/>
        <v>0</v>
      </c>
      <c r="Y583" s="168">
        <f t="shared" si="166"/>
        <v>0</v>
      </c>
      <c r="Z583" s="215">
        <f t="shared" si="167"/>
        <v>0</v>
      </c>
      <c r="AA583" s="169" t="b">
        <f t="shared" si="175"/>
        <v>0</v>
      </c>
      <c r="AB583" s="168" t="b">
        <f t="shared" si="176"/>
        <v>0</v>
      </c>
      <c r="AC583" s="168" t="b">
        <f t="shared" si="177"/>
        <v>0</v>
      </c>
      <c r="AD583" s="215" t="b">
        <f t="shared" si="178"/>
        <v>0</v>
      </c>
      <c r="AI583" s="170" t="str">
        <f t="shared" si="161"/>
        <v> </v>
      </c>
      <c r="AJ583" s="168">
        <f t="shared" si="162"/>
        <v>0</v>
      </c>
      <c r="AK583" s="168">
        <f ca="1" t="shared" si="173"/>
        <v>0</v>
      </c>
      <c r="AL583" s="168">
        <f t="shared" si="189"/>
        <v>0</v>
      </c>
      <c r="AM583" s="215"/>
      <c r="AN583" s="170" t="str">
        <f t="shared" si="168"/>
        <v>Fence</v>
      </c>
      <c r="AO583" s="168">
        <f t="shared" si="169"/>
        <v>0</v>
      </c>
      <c r="AP583" s="168">
        <f ca="1" t="shared" si="170"/>
        <v>0</v>
      </c>
      <c r="AQ583" s="168" t="str">
        <f t="shared" si="171"/>
        <v>C</v>
      </c>
      <c r="AR583" s="168">
        <f t="shared" si="196"/>
        <v>0</v>
      </c>
      <c r="AS583" s="215"/>
      <c r="BQ583" s="211">
        <f t="shared" si="185"/>
        <v>85</v>
      </c>
      <c r="BR583" s="249" t="str">
        <f t="shared" si="179"/>
        <v>Lantern, Bull's Eye</v>
      </c>
      <c r="BS583" s="168">
        <f t="shared" si="180"/>
        <v>0</v>
      </c>
      <c r="BT583" s="168">
        <f t="shared" si="181"/>
        <v>27</v>
      </c>
      <c r="BU583" s="168">
        <f t="shared" si="182"/>
        <v>6</v>
      </c>
      <c r="BV583" s="249">
        <f aca="true" t="shared" si="197" ref="BV583:BV646">FIND(",",BR583)</f>
        <v>8</v>
      </c>
      <c r="BW583" s="249" t="str">
        <f aca="true" t="shared" si="198" ref="BW583:BW646">IF(ISERROR(BV583),BR583,MID(BR583,BV583+2,20)&amp;" "&amp;LEFT(BR583,BV583-1))&amp;IF(ISERROR(VALUE(BS583)),"",IF(BS583&gt;1," ("&amp;BS583&amp;")",""))</f>
        <v>Bull's Eye Lantern</v>
      </c>
      <c r="BX583" s="249">
        <f t="shared" si="188"/>
        <v>0</v>
      </c>
      <c r="BY583" s="168">
        <f t="shared" si="186"/>
        <v>0</v>
      </c>
      <c r="BZ583" s="171"/>
    </row>
    <row r="584" spans="2:78" ht="12.75">
      <c r="B584" s="137">
        <v>11</v>
      </c>
      <c r="C584" s="112"/>
      <c r="D584" s="119" t="str">
        <f t="shared" si="190"/>
        <v> </v>
      </c>
      <c r="E584" s="122">
        <f t="shared" si="191"/>
        <v>0</v>
      </c>
      <c r="F584" s="134" t="str">
        <f ca="1" t="shared" si="192"/>
        <v> </v>
      </c>
      <c r="G584" s="122">
        <f>IF(D584&lt;&gt;" ",MATCH(D584,Talents!B$3:B$278,1),0)</f>
        <v>0</v>
      </c>
      <c r="H584" s="122" t="str">
        <f ca="1">IF(G584=0," ",OFFSET(Talents!C$2,G584,0))</f>
        <v> </v>
      </c>
      <c r="I584" s="122" t="str">
        <f ca="1">IF(G584=0," ",OFFSET(Talents!D$2,G584,0))</f>
        <v> </v>
      </c>
      <c r="J584" s="122" t="str">
        <f t="shared" si="193"/>
        <v> </v>
      </c>
      <c r="K584" s="122">
        <f t="shared" si="194"/>
        <v>0</v>
      </c>
      <c r="L584" s="122" t="str">
        <f t="shared" si="174"/>
        <v> </v>
      </c>
      <c r="M584" s="122" t="str">
        <f ca="1" t="shared" si="183"/>
        <v>-</v>
      </c>
      <c r="N584" s="112" t="b">
        <v>0</v>
      </c>
      <c r="O584" s="122" t="str">
        <f ca="1">IF(G584&gt;0,IF(N584,"D",OFFSET(Talents!E$2,G584,0))&amp;OFFSET(Talents!F$2,G584,0)," ")</f>
        <v> </v>
      </c>
      <c r="P584" s="122" t="b">
        <f t="shared" si="195"/>
        <v>0</v>
      </c>
      <c r="Q584" s="169">
        <f t="shared" si="184"/>
        <v>0</v>
      </c>
      <c r="R584" s="215"/>
      <c r="S584"/>
      <c r="T584"/>
      <c r="U584" s="214"/>
      <c r="V584" s="214"/>
      <c r="W584" s="169">
        <f t="shared" si="164"/>
        <v>0</v>
      </c>
      <c r="X584" s="168">
        <f t="shared" si="165"/>
        <v>0</v>
      </c>
      <c r="Y584" s="168">
        <f t="shared" si="166"/>
        <v>0</v>
      </c>
      <c r="Z584" s="215">
        <f t="shared" si="167"/>
        <v>0</v>
      </c>
      <c r="AA584" s="169" t="b">
        <f t="shared" si="175"/>
        <v>0</v>
      </c>
      <c r="AB584" s="168" t="b">
        <f t="shared" si="176"/>
        <v>0</v>
      </c>
      <c r="AC584" s="168" t="b">
        <f t="shared" si="177"/>
        <v>0</v>
      </c>
      <c r="AD584" s="215" t="b">
        <f t="shared" si="178"/>
        <v>0</v>
      </c>
      <c r="AI584" s="170" t="str">
        <f t="shared" si="161"/>
        <v> </v>
      </c>
      <c r="AJ584" s="168">
        <f t="shared" si="162"/>
        <v>0</v>
      </c>
      <c r="AK584" s="168">
        <f ca="1" t="shared" si="173"/>
        <v>0</v>
      </c>
      <c r="AL584" s="168">
        <f t="shared" si="189"/>
        <v>0</v>
      </c>
      <c r="AM584" s="215"/>
      <c r="AN584" s="170" t="str">
        <f t="shared" si="168"/>
        <v>First Impression</v>
      </c>
      <c r="AO584" s="168">
        <f t="shared" si="169"/>
        <v>0</v>
      </c>
      <c r="AP584" s="168">
        <f ca="1" t="shared" si="170"/>
        <v>0</v>
      </c>
      <c r="AQ584" s="168" t="str">
        <f t="shared" si="171"/>
        <v>C</v>
      </c>
      <c r="AR584" s="168">
        <f t="shared" si="196"/>
        <v>0</v>
      </c>
      <c r="AS584" s="215"/>
      <c r="BQ584" s="211">
        <f t="shared" si="185"/>
        <v>86</v>
      </c>
      <c r="BR584" s="249" t="str">
        <f t="shared" si="179"/>
        <v>Lantern, Light Quartz</v>
      </c>
      <c r="BS584" s="168">
        <f t="shared" si="180"/>
        <v>0</v>
      </c>
      <c r="BT584" s="168">
        <f t="shared" si="181"/>
        <v>75</v>
      </c>
      <c r="BU584" s="168">
        <f t="shared" si="182"/>
        <v>8</v>
      </c>
      <c r="BV584" s="249">
        <f t="shared" si="197"/>
        <v>8</v>
      </c>
      <c r="BW584" s="249" t="str">
        <f t="shared" si="198"/>
        <v>Light Quartz Lantern</v>
      </c>
      <c r="BX584" s="249">
        <f t="shared" si="188"/>
        <v>0</v>
      </c>
      <c r="BY584" s="168">
        <f t="shared" si="186"/>
        <v>0</v>
      </c>
      <c r="BZ584" s="171"/>
    </row>
    <row r="585" spans="2:78" ht="12.75">
      <c r="B585" s="137">
        <v>12</v>
      </c>
      <c r="C585" s="112"/>
      <c r="D585" s="119" t="str">
        <f t="shared" si="190"/>
        <v> </v>
      </c>
      <c r="E585" s="122">
        <f t="shared" si="191"/>
        <v>0</v>
      </c>
      <c r="F585" s="134" t="str">
        <f ca="1" t="shared" si="192"/>
        <v> </v>
      </c>
      <c r="G585" s="122">
        <f>IF(D585&lt;&gt;" ",MATCH(D585,Talents!B$3:B$278,1),0)</f>
        <v>0</v>
      </c>
      <c r="H585" s="122" t="str">
        <f ca="1">IF(G585=0," ",OFFSET(Talents!C$2,G585,0))</f>
        <v> </v>
      </c>
      <c r="I585" s="122" t="str">
        <f ca="1">IF(G585=0," ",OFFSET(Talents!D$2,G585,0))</f>
        <v> </v>
      </c>
      <c r="J585" s="122" t="str">
        <f t="shared" si="193"/>
        <v> </v>
      </c>
      <c r="K585" s="122">
        <f t="shared" si="194"/>
        <v>0</v>
      </c>
      <c r="L585" s="122" t="str">
        <f t="shared" si="174"/>
        <v> </v>
      </c>
      <c r="M585" s="122" t="str">
        <f ca="1" t="shared" si="183"/>
        <v>-</v>
      </c>
      <c r="N585" s="112" t="b">
        <v>0</v>
      </c>
      <c r="O585" s="122" t="str">
        <f ca="1">IF(G585&gt;0,IF(N585,"D",OFFSET(Talents!E$2,G585,0))&amp;OFFSET(Talents!F$2,G585,0)," ")</f>
        <v> </v>
      </c>
      <c r="P585" s="122" t="b">
        <f t="shared" si="195"/>
        <v>0</v>
      </c>
      <c r="Q585" s="169">
        <f t="shared" si="184"/>
        <v>0</v>
      </c>
      <c r="R585" s="215"/>
      <c r="S585"/>
      <c r="T585"/>
      <c r="U585" s="214"/>
      <c r="V585" s="214"/>
      <c r="W585" s="169">
        <f t="shared" si="164"/>
        <v>0</v>
      </c>
      <c r="X585" s="168">
        <f t="shared" si="165"/>
        <v>0</v>
      </c>
      <c r="Y585" s="168">
        <f t="shared" si="166"/>
        <v>0</v>
      </c>
      <c r="Z585" s="215">
        <f t="shared" si="167"/>
        <v>0</v>
      </c>
      <c r="AA585" s="169" t="b">
        <f t="shared" si="175"/>
        <v>0</v>
      </c>
      <c r="AB585" s="168" t="b">
        <f t="shared" si="176"/>
        <v>0</v>
      </c>
      <c r="AC585" s="168" t="b">
        <f t="shared" si="177"/>
        <v>0</v>
      </c>
      <c r="AD585" s="215" t="b">
        <f t="shared" si="178"/>
        <v>0</v>
      </c>
      <c r="AI585" s="170" t="str">
        <f t="shared" si="161"/>
        <v> </v>
      </c>
      <c r="AJ585" s="168">
        <f t="shared" si="162"/>
        <v>0</v>
      </c>
      <c r="AK585" s="168">
        <f ca="1" t="shared" si="173"/>
        <v>0</v>
      </c>
      <c r="AL585" s="168">
        <f t="shared" si="189"/>
        <v>0</v>
      </c>
      <c r="AM585" s="215"/>
      <c r="AN585" s="170" t="str">
        <f t="shared" si="168"/>
        <v>Forge Armor</v>
      </c>
      <c r="AO585" s="168">
        <f t="shared" si="169"/>
        <v>0</v>
      </c>
      <c r="AP585" s="168">
        <f ca="1" t="shared" si="170"/>
        <v>0</v>
      </c>
      <c r="AQ585" s="168" t="str">
        <f t="shared" si="171"/>
        <v>P</v>
      </c>
      <c r="AR585" s="168">
        <f t="shared" si="196"/>
        <v>0</v>
      </c>
      <c r="AS585" s="215"/>
      <c r="BQ585" s="211">
        <f t="shared" si="185"/>
        <v>87</v>
      </c>
      <c r="BR585" s="249" t="str">
        <f t="shared" si="179"/>
        <v>Map/scroll Case</v>
      </c>
      <c r="BS585" s="168">
        <f t="shared" si="180"/>
        <v>0</v>
      </c>
      <c r="BT585" s="168">
        <f t="shared" si="181"/>
        <v>0.8</v>
      </c>
      <c r="BU585" s="168">
        <f t="shared" si="182"/>
        <v>3</v>
      </c>
      <c r="BV585" s="249" t="e">
        <f t="shared" si="197"/>
        <v>#VALUE!</v>
      </c>
      <c r="BW585" s="249" t="str">
        <f t="shared" si="198"/>
        <v>Map/scroll Case</v>
      </c>
      <c r="BX585" s="249">
        <f t="shared" si="188"/>
        <v>0</v>
      </c>
      <c r="BY585" s="168">
        <f t="shared" si="186"/>
        <v>0</v>
      </c>
      <c r="BZ585" s="171"/>
    </row>
    <row r="586" spans="2:78" ht="12.75">
      <c r="B586" s="137">
        <v>13</v>
      </c>
      <c r="C586" s="112"/>
      <c r="D586" s="119" t="str">
        <f t="shared" si="190"/>
        <v> </v>
      </c>
      <c r="E586" s="122">
        <f t="shared" si="191"/>
        <v>0</v>
      </c>
      <c r="F586" s="134" t="str">
        <f ca="1" t="shared" si="192"/>
        <v> </v>
      </c>
      <c r="G586" s="122">
        <f>IF(D586&lt;&gt;" ",MATCH(D586,Talents!B$3:B$278,1),0)</f>
        <v>0</v>
      </c>
      <c r="H586" s="122" t="str">
        <f ca="1">IF(G586=0," ",OFFSET(Talents!C$2,G586,0))</f>
        <v> </v>
      </c>
      <c r="I586" s="122" t="str">
        <f ca="1">IF(G586=0," ",OFFSET(Talents!D$2,G586,0))</f>
        <v> </v>
      </c>
      <c r="J586" s="122" t="str">
        <f t="shared" si="193"/>
        <v> </v>
      </c>
      <c r="K586" s="122">
        <f t="shared" si="194"/>
        <v>0</v>
      </c>
      <c r="L586" s="122" t="str">
        <f t="shared" si="174"/>
        <v> </v>
      </c>
      <c r="M586" s="122" t="str">
        <f ca="1" t="shared" si="183"/>
        <v>-</v>
      </c>
      <c r="N586" s="112" t="b">
        <v>0</v>
      </c>
      <c r="O586" s="122" t="str">
        <f ca="1">IF(G586&gt;0,IF(N586,"D",OFFSET(Talents!E$2,G586,0))&amp;OFFSET(Talents!F$2,G586,0)," ")</f>
        <v> </v>
      </c>
      <c r="P586" s="122" t="b">
        <f t="shared" si="195"/>
        <v>0</v>
      </c>
      <c r="Q586" s="169">
        <f t="shared" si="184"/>
        <v>0</v>
      </c>
      <c r="R586" s="215"/>
      <c r="S586"/>
      <c r="T586"/>
      <c r="U586" s="214"/>
      <c r="V586" s="214"/>
      <c r="W586" s="169">
        <f t="shared" si="164"/>
        <v>0</v>
      </c>
      <c r="X586" s="168">
        <f t="shared" si="165"/>
        <v>0</v>
      </c>
      <c r="Y586" s="168">
        <f t="shared" si="166"/>
        <v>0</v>
      </c>
      <c r="Z586" s="215">
        <f t="shared" si="167"/>
        <v>0</v>
      </c>
      <c r="AA586" s="169" t="b">
        <f t="shared" si="175"/>
        <v>0</v>
      </c>
      <c r="AB586" s="168" t="b">
        <f t="shared" si="176"/>
        <v>0</v>
      </c>
      <c r="AC586" s="168" t="b">
        <f t="shared" si="177"/>
        <v>0</v>
      </c>
      <c r="AD586" s="215" t="b">
        <f t="shared" si="178"/>
        <v>0</v>
      </c>
      <c r="AI586" s="170" t="str">
        <f t="shared" si="161"/>
        <v> </v>
      </c>
      <c r="AJ586" s="168">
        <f t="shared" si="162"/>
        <v>0</v>
      </c>
      <c r="AK586" s="168">
        <f ca="1" t="shared" si="173"/>
        <v>0</v>
      </c>
      <c r="AL586" s="168">
        <f t="shared" si="189"/>
        <v>0</v>
      </c>
      <c r="AM586" s="215"/>
      <c r="AN586" s="170" t="str">
        <f t="shared" si="168"/>
        <v>Forge Blade</v>
      </c>
      <c r="AO586" s="168">
        <f t="shared" si="169"/>
        <v>0</v>
      </c>
      <c r="AP586" s="168">
        <f ca="1" t="shared" si="170"/>
        <v>0</v>
      </c>
      <c r="AQ586" s="168" t="str">
        <f t="shared" si="171"/>
        <v>P</v>
      </c>
      <c r="AR586" s="168">
        <f t="shared" si="196"/>
        <v>0</v>
      </c>
      <c r="AS586" s="215"/>
      <c r="BQ586" s="211">
        <f t="shared" si="185"/>
        <v>88</v>
      </c>
      <c r="BR586" s="249" t="str">
        <f t="shared" si="179"/>
        <v>Oil flask</v>
      </c>
      <c r="BS586" s="168">
        <f t="shared" si="180"/>
        <v>0</v>
      </c>
      <c r="BT586" s="168">
        <f t="shared" si="181"/>
        <v>6</v>
      </c>
      <c r="BU586" s="168">
        <f t="shared" si="182"/>
        <v>0.5</v>
      </c>
      <c r="BV586" s="249" t="e">
        <f t="shared" si="197"/>
        <v>#VALUE!</v>
      </c>
      <c r="BW586" s="249" t="str">
        <f t="shared" si="198"/>
        <v>Oil flask</v>
      </c>
      <c r="BX586" s="249">
        <f t="shared" si="188"/>
        <v>0</v>
      </c>
      <c r="BY586" s="168">
        <f t="shared" si="186"/>
        <v>0</v>
      </c>
      <c r="BZ586" s="171"/>
    </row>
    <row r="587" spans="2:78" ht="12.75">
      <c r="B587" s="137">
        <v>14</v>
      </c>
      <c r="C587" s="112"/>
      <c r="D587" s="119" t="str">
        <f t="shared" si="190"/>
        <v> </v>
      </c>
      <c r="E587" s="122">
        <f t="shared" si="191"/>
        <v>0</v>
      </c>
      <c r="F587" s="134" t="str">
        <f ca="1" t="shared" si="192"/>
        <v> </v>
      </c>
      <c r="G587" s="122">
        <f>IF(D587&lt;&gt;" ",MATCH(D587,Talents!B$3:B$278,1),0)</f>
        <v>0</v>
      </c>
      <c r="H587" s="122" t="str">
        <f ca="1">IF(G587=0," ",OFFSET(Talents!C$2,G587,0))</f>
        <v> </v>
      </c>
      <c r="I587" s="122" t="str">
        <f ca="1">IF(G587=0," ",OFFSET(Talents!D$2,G587,0))</f>
        <v> </v>
      </c>
      <c r="J587" s="122" t="str">
        <f t="shared" si="193"/>
        <v> </v>
      </c>
      <c r="K587" s="122">
        <f t="shared" si="194"/>
        <v>0</v>
      </c>
      <c r="L587" s="122" t="str">
        <f t="shared" si="174"/>
        <v> </v>
      </c>
      <c r="M587" s="122" t="str">
        <f ca="1" t="shared" si="183"/>
        <v>-</v>
      </c>
      <c r="N587" s="112" t="b">
        <v>0</v>
      </c>
      <c r="O587" s="122" t="str">
        <f ca="1">IF(G587&gt;0,IF(N587,"D",OFFSET(Talents!E$2,G587,0))&amp;OFFSET(Talents!F$2,G587,0)," ")</f>
        <v> </v>
      </c>
      <c r="P587" s="122" t="b">
        <f t="shared" si="195"/>
        <v>0</v>
      </c>
      <c r="Q587" s="169">
        <f t="shared" si="184"/>
        <v>0</v>
      </c>
      <c r="R587" s="215"/>
      <c r="S587"/>
      <c r="T587"/>
      <c r="U587" s="214"/>
      <c r="V587" s="214"/>
      <c r="W587" s="169">
        <f t="shared" si="164"/>
        <v>0</v>
      </c>
      <c r="X587" s="168">
        <f t="shared" si="165"/>
        <v>0</v>
      </c>
      <c r="Y587" s="168">
        <f t="shared" si="166"/>
        <v>0</v>
      </c>
      <c r="Z587" s="215">
        <f t="shared" si="167"/>
        <v>0</v>
      </c>
      <c r="AA587" s="169" t="b">
        <f t="shared" si="175"/>
        <v>0</v>
      </c>
      <c r="AB587" s="168" t="b">
        <f t="shared" si="176"/>
        <v>0</v>
      </c>
      <c r="AC587" s="168" t="b">
        <f t="shared" si="177"/>
        <v>0</v>
      </c>
      <c r="AD587" s="215" t="b">
        <f t="shared" si="178"/>
        <v>0</v>
      </c>
      <c r="AI587" s="170" t="str">
        <f t="shared" si="161"/>
        <v> </v>
      </c>
      <c r="AJ587" s="168">
        <f t="shared" si="162"/>
        <v>0</v>
      </c>
      <c r="AK587" s="168">
        <f ca="1" t="shared" si="173"/>
        <v>0</v>
      </c>
      <c r="AL587" s="168">
        <f t="shared" si="189"/>
        <v>0</v>
      </c>
      <c r="AM587" s="215"/>
      <c r="AN587" s="170" t="str">
        <f t="shared" si="168"/>
        <v>Frighten</v>
      </c>
      <c r="AO587" s="168">
        <f t="shared" si="169"/>
        <v>0</v>
      </c>
      <c r="AP587" s="168">
        <f ca="1" t="shared" si="170"/>
        <v>0</v>
      </c>
      <c r="AQ587" s="168" t="str">
        <f t="shared" si="171"/>
        <v>W</v>
      </c>
      <c r="AR587" s="168">
        <f t="shared" si="196"/>
        <v>0</v>
      </c>
      <c r="AS587" s="215"/>
      <c r="BQ587" s="211">
        <f t="shared" si="185"/>
        <v>89</v>
      </c>
      <c r="BR587" s="249" t="str">
        <f t="shared" si="179"/>
        <v>Paper</v>
      </c>
      <c r="BS587" s="168">
        <f t="shared" si="180"/>
        <v>0</v>
      </c>
      <c r="BT587" s="168">
        <f t="shared" si="181"/>
        <v>1</v>
      </c>
      <c r="BU587" s="168">
        <f t="shared" si="182"/>
        <v>0</v>
      </c>
      <c r="BV587" s="249" t="e">
        <f t="shared" si="197"/>
        <v>#VALUE!</v>
      </c>
      <c r="BW587" s="249" t="str">
        <f t="shared" si="198"/>
        <v>Paper</v>
      </c>
      <c r="BX587" s="249">
        <f t="shared" si="188"/>
        <v>0</v>
      </c>
      <c r="BY587" s="168">
        <f t="shared" si="186"/>
        <v>0</v>
      </c>
      <c r="BZ587" s="171"/>
    </row>
    <row r="588" spans="2:78" ht="12.75">
      <c r="B588" s="137">
        <v>15</v>
      </c>
      <c r="C588" s="112"/>
      <c r="D588" s="119" t="str">
        <f t="shared" si="190"/>
        <v> </v>
      </c>
      <c r="E588" s="122">
        <f t="shared" si="191"/>
        <v>0</v>
      </c>
      <c r="F588" s="122" t="str">
        <f ca="1" t="shared" si="192"/>
        <v> </v>
      </c>
      <c r="G588" s="122">
        <f>IF(D588&lt;&gt;" ",MATCH(D588,Talents!B$3:B$278,1),0)</f>
        <v>0</v>
      </c>
      <c r="H588" s="122" t="str">
        <f ca="1">IF(G588=0," ",OFFSET(Talents!C$2,G588,0))</f>
        <v> </v>
      </c>
      <c r="I588" s="122" t="str">
        <f ca="1">IF(G588=0," ",OFFSET(Talents!D$2,G588,0))</f>
        <v> </v>
      </c>
      <c r="J588" s="122" t="str">
        <f t="shared" si="193"/>
        <v> </v>
      </c>
      <c r="K588" s="122">
        <f t="shared" si="194"/>
        <v>0</v>
      </c>
      <c r="L588" s="122" t="str">
        <f t="shared" si="174"/>
        <v> </v>
      </c>
      <c r="M588" s="122" t="str">
        <f ca="1" t="shared" si="183"/>
        <v>-</v>
      </c>
      <c r="N588" s="112" t="b">
        <v>0</v>
      </c>
      <c r="O588" s="122" t="str">
        <f ca="1">IF(G588&gt;0,IF(N588,"D",OFFSET(Talents!E$2,G588,0))&amp;OFFSET(Talents!F$2,G588,0)," ")</f>
        <v> </v>
      </c>
      <c r="P588" s="122" t="b">
        <f t="shared" si="195"/>
        <v>0</v>
      </c>
      <c r="Q588" s="130">
        <f t="shared" si="184"/>
        <v>0</v>
      </c>
      <c r="R588" s="132"/>
      <c r="S588"/>
      <c r="T588"/>
      <c r="U588" s="214"/>
      <c r="V588" s="214"/>
      <c r="W588" s="130">
        <f t="shared" si="164"/>
        <v>0</v>
      </c>
      <c r="X588" s="131">
        <f t="shared" si="165"/>
        <v>0</v>
      </c>
      <c r="Y588" s="131">
        <f t="shared" si="166"/>
        <v>0</v>
      </c>
      <c r="Z588" s="132">
        <f t="shared" si="167"/>
        <v>0</v>
      </c>
      <c r="AA588" s="130" t="b">
        <f t="shared" si="175"/>
        <v>0</v>
      </c>
      <c r="AB588" s="131" t="b">
        <f t="shared" si="176"/>
        <v>0</v>
      </c>
      <c r="AC588" s="131" t="b">
        <f t="shared" si="177"/>
        <v>0</v>
      </c>
      <c r="AD588" s="132" t="b">
        <f t="shared" si="178"/>
        <v>0</v>
      </c>
      <c r="AI588" s="170" t="str">
        <f aca="true" t="shared" si="199" ref="AI588:AI613">D563</f>
        <v> </v>
      </c>
      <c r="AJ588" s="168">
        <f aca="true" t="shared" si="200" ref="AJ588:AJ613">K563</f>
        <v>0</v>
      </c>
      <c r="AK588" s="168">
        <f ca="1" t="shared" si="173"/>
        <v>0</v>
      </c>
      <c r="AL588" s="168">
        <f t="shared" si="189"/>
        <v>0</v>
      </c>
      <c r="AM588" s="215"/>
      <c r="AN588" s="170" t="str">
        <f t="shared" si="168"/>
        <v>Graceful Exit</v>
      </c>
      <c r="AO588" s="168">
        <f t="shared" si="169"/>
        <v>0</v>
      </c>
      <c r="AP588" s="168">
        <f ca="1" t="shared" si="170"/>
        <v>0</v>
      </c>
      <c r="AQ588" s="168" t="str">
        <f t="shared" si="171"/>
        <v>C</v>
      </c>
      <c r="AR588" s="168">
        <f t="shared" si="196"/>
        <v>0</v>
      </c>
      <c r="AS588" s="215"/>
      <c r="BQ588" s="211">
        <f t="shared" si="185"/>
        <v>90</v>
      </c>
      <c r="BR588" s="249" t="str">
        <f t="shared" si="179"/>
        <v>Piton</v>
      </c>
      <c r="BS588" s="168">
        <f t="shared" si="180"/>
        <v>0</v>
      </c>
      <c r="BT588" s="168">
        <f t="shared" si="181"/>
        <v>0.9</v>
      </c>
      <c r="BU588" s="168">
        <f t="shared" si="182"/>
        <v>2</v>
      </c>
      <c r="BV588" s="249" t="e">
        <f t="shared" si="197"/>
        <v>#VALUE!</v>
      </c>
      <c r="BW588" s="249" t="str">
        <f t="shared" si="198"/>
        <v>Piton</v>
      </c>
      <c r="BX588" s="249">
        <f t="shared" si="188"/>
        <v>0</v>
      </c>
      <c r="BY588" s="168">
        <f t="shared" si="186"/>
        <v>0</v>
      </c>
      <c r="BZ588" s="171"/>
    </row>
    <row r="589" spans="3:78" ht="12.75">
      <c r="C589" s="117"/>
      <c r="U589" s="116"/>
      <c r="V589" s="116"/>
      <c r="W589"/>
      <c r="X589"/>
      <c r="Y589"/>
      <c r="Z589"/>
      <c r="AA589"/>
      <c r="AB589"/>
      <c r="AC589"/>
      <c r="AD589"/>
      <c r="AI589" s="170" t="str">
        <f t="shared" si="199"/>
        <v> </v>
      </c>
      <c r="AJ589" s="168">
        <f t="shared" si="200"/>
        <v>0</v>
      </c>
      <c r="AK589" s="168">
        <f ca="1" t="shared" si="173"/>
        <v>0</v>
      </c>
      <c r="AL589" s="168">
        <f t="shared" si="189"/>
        <v>0</v>
      </c>
      <c r="AM589" s="215"/>
      <c r="AN589" s="170" t="str">
        <f t="shared" si="168"/>
        <v>Great Leap</v>
      </c>
      <c r="AO589" s="168">
        <f t="shared" si="169"/>
        <v>0</v>
      </c>
      <c r="AP589" s="168">
        <f ca="1" t="shared" si="170"/>
        <v>0</v>
      </c>
      <c r="AQ589" s="168" t="str">
        <f t="shared" si="171"/>
        <v>D</v>
      </c>
      <c r="AR589" s="168">
        <f t="shared" si="196"/>
        <v>0</v>
      </c>
      <c r="AS589" s="215"/>
      <c r="BQ589" s="211">
        <f t="shared" si="185"/>
        <v>91</v>
      </c>
      <c r="BR589" s="249" t="str">
        <f t="shared" si="179"/>
        <v>Quill-pen</v>
      </c>
      <c r="BS589" s="168">
        <f t="shared" si="180"/>
        <v>0</v>
      </c>
      <c r="BT589" s="168">
        <f t="shared" si="181"/>
        <v>1</v>
      </c>
      <c r="BU589" s="168">
        <f t="shared" si="182"/>
        <v>0</v>
      </c>
      <c r="BV589" s="249" t="e">
        <f t="shared" si="197"/>
        <v>#VALUE!</v>
      </c>
      <c r="BW589" s="249" t="str">
        <f t="shared" si="198"/>
        <v>Quill-pen</v>
      </c>
      <c r="BX589" s="249">
        <f t="shared" si="188"/>
        <v>0</v>
      </c>
      <c r="BY589" s="168">
        <f t="shared" si="186"/>
        <v>0</v>
      </c>
      <c r="BZ589" s="171"/>
    </row>
    <row r="590" spans="3:78" ht="12.75">
      <c r="C590" s="117"/>
      <c r="U590" s="116"/>
      <c r="V590" s="116"/>
      <c r="W590"/>
      <c r="X590"/>
      <c r="Y590"/>
      <c r="Z590"/>
      <c r="AA590"/>
      <c r="AB590"/>
      <c r="AC590"/>
      <c r="AD590"/>
      <c r="AI590" s="170" t="str">
        <f t="shared" si="199"/>
        <v> </v>
      </c>
      <c r="AJ590" s="168">
        <f t="shared" si="200"/>
        <v>0</v>
      </c>
      <c r="AK590" s="168">
        <f ca="1" t="shared" si="173"/>
        <v>0</v>
      </c>
      <c r="AL590" s="168">
        <f t="shared" si="189"/>
        <v>0</v>
      </c>
      <c r="AM590" s="215"/>
      <c r="AN590" s="170" t="str">
        <f t="shared" si="168"/>
        <v>Haggle</v>
      </c>
      <c r="AO590" s="168">
        <f t="shared" si="169"/>
        <v>0</v>
      </c>
      <c r="AP590" s="168">
        <f ca="1" t="shared" si="170"/>
        <v>0</v>
      </c>
      <c r="AQ590" s="168" t="str">
        <f t="shared" si="171"/>
        <v>C</v>
      </c>
      <c r="AR590" s="168">
        <f t="shared" si="196"/>
        <v>0</v>
      </c>
      <c r="AS590" s="215"/>
      <c r="BQ590" s="211">
        <f t="shared" si="185"/>
        <v>92</v>
      </c>
      <c r="BR590" s="249" t="str">
        <f t="shared" si="179"/>
        <v>Rope (10-foot length)</v>
      </c>
      <c r="BS590" s="168">
        <f t="shared" si="180"/>
        <v>0</v>
      </c>
      <c r="BT590" s="168">
        <f t="shared" si="181"/>
        <v>8</v>
      </c>
      <c r="BU590" s="168">
        <f t="shared" si="182"/>
        <v>5</v>
      </c>
      <c r="BV590" s="249" t="e">
        <f t="shared" si="197"/>
        <v>#VALUE!</v>
      </c>
      <c r="BW590" s="249" t="str">
        <f t="shared" si="198"/>
        <v>Rope (10-foot length)</v>
      </c>
      <c r="BX590" s="249">
        <f t="shared" si="188"/>
        <v>0</v>
      </c>
      <c r="BY590" s="168">
        <f t="shared" si="186"/>
        <v>0</v>
      </c>
      <c r="BZ590" s="171"/>
    </row>
    <row r="591" spans="3:78" ht="12.75">
      <c r="C591" s="117"/>
      <c r="U591" s="116"/>
      <c r="V591" s="116"/>
      <c r="W591"/>
      <c r="X591"/>
      <c r="Y591"/>
      <c r="Z591"/>
      <c r="AA591"/>
      <c r="AB591"/>
      <c r="AC591"/>
      <c r="AD591"/>
      <c r="AI591" s="170" t="str">
        <f t="shared" si="199"/>
        <v> </v>
      </c>
      <c r="AJ591" s="168">
        <f t="shared" si="200"/>
        <v>0</v>
      </c>
      <c r="AK591" s="168">
        <f ca="1" t="shared" si="173"/>
        <v>0</v>
      </c>
      <c r="AL591" s="168">
        <f t="shared" si="189"/>
        <v>0</v>
      </c>
      <c r="AM591" s="215"/>
      <c r="AN591" s="170" t="str">
        <f aca="true" t="shared" si="201" ref="AN591:AN622">T105</f>
        <v>Heartening Laugh</v>
      </c>
      <c r="AO591" s="168">
        <f aca="true" t="shared" si="202" ref="AO591:AO622">W105</f>
        <v>0</v>
      </c>
      <c r="AP591" s="168">
        <f ca="1" t="shared" si="170"/>
        <v>0</v>
      </c>
      <c r="AQ591" s="168" t="str">
        <f aca="true" t="shared" si="203" ref="AQ591:AQ622">X105</f>
        <v>C</v>
      </c>
      <c r="AR591" s="168">
        <f t="shared" si="196"/>
        <v>0</v>
      </c>
      <c r="AS591" s="215"/>
      <c r="BQ591" s="211">
        <f t="shared" si="185"/>
        <v>93</v>
      </c>
      <c r="BR591" s="249" t="str">
        <f t="shared" si="179"/>
        <v>Rope (25-foot length)</v>
      </c>
      <c r="BS591" s="168">
        <f t="shared" si="180"/>
        <v>0</v>
      </c>
      <c r="BT591" s="168">
        <f t="shared" si="181"/>
        <v>15</v>
      </c>
      <c r="BU591" s="168">
        <f t="shared" si="182"/>
        <v>15</v>
      </c>
      <c r="BV591" s="249" t="e">
        <f t="shared" si="197"/>
        <v>#VALUE!</v>
      </c>
      <c r="BW591" s="249" t="str">
        <f t="shared" si="198"/>
        <v>Rope (25-foot length)</v>
      </c>
      <c r="BX591" s="249">
        <f t="shared" si="188"/>
        <v>0</v>
      </c>
      <c r="BY591" s="168">
        <f t="shared" si="186"/>
        <v>0</v>
      </c>
      <c r="BZ591" s="171"/>
    </row>
    <row r="592" spans="3:78" ht="12.75">
      <c r="C592" s="117"/>
      <c r="U592" s="116"/>
      <c r="V592" s="116"/>
      <c r="W592"/>
      <c r="X592"/>
      <c r="Y592"/>
      <c r="Z592"/>
      <c r="AA592"/>
      <c r="AB592"/>
      <c r="AC592"/>
      <c r="AD592"/>
      <c r="AI592" s="170" t="str">
        <f t="shared" si="199"/>
        <v> </v>
      </c>
      <c r="AJ592" s="168">
        <f t="shared" si="200"/>
        <v>0</v>
      </c>
      <c r="AK592" s="168">
        <f ca="1" t="shared" si="173"/>
        <v>0</v>
      </c>
      <c r="AL592" s="168">
        <f t="shared" si="189"/>
        <v>0</v>
      </c>
      <c r="AM592" s="215"/>
      <c r="AN592" s="170" t="str">
        <f t="shared" si="201"/>
        <v>Hypnotize</v>
      </c>
      <c r="AO592" s="168">
        <f t="shared" si="202"/>
        <v>0</v>
      </c>
      <c r="AP592" s="168">
        <f ca="1" t="shared" si="170"/>
        <v>0</v>
      </c>
      <c r="AQ592" s="168" t="str">
        <f t="shared" si="203"/>
        <v>P</v>
      </c>
      <c r="AR592" s="168">
        <f t="shared" si="196"/>
        <v>0</v>
      </c>
      <c r="AS592" s="215"/>
      <c r="BQ592" s="211">
        <f t="shared" si="185"/>
        <v>94</v>
      </c>
      <c r="BR592" s="249" t="str">
        <f t="shared" si="179"/>
        <v>Rope (50-foot length)</v>
      </c>
      <c r="BS592" s="168">
        <f t="shared" si="180"/>
        <v>0</v>
      </c>
      <c r="BT592" s="168">
        <f t="shared" si="181"/>
        <v>25</v>
      </c>
      <c r="BU592" s="168">
        <f t="shared" si="182"/>
        <v>25</v>
      </c>
      <c r="BV592" s="249" t="e">
        <f t="shared" si="197"/>
        <v>#VALUE!</v>
      </c>
      <c r="BW592" s="249" t="str">
        <f t="shared" si="198"/>
        <v>Rope (50-foot length)</v>
      </c>
      <c r="BX592" s="249">
        <f t="shared" si="188"/>
        <v>0</v>
      </c>
      <c r="BY592" s="168">
        <f t="shared" si="186"/>
        <v>0</v>
      </c>
      <c r="BZ592" s="171"/>
    </row>
    <row r="593" spans="3:78" ht="12.75">
      <c r="C593" s="117"/>
      <c r="W593"/>
      <c r="X593"/>
      <c r="Y593"/>
      <c r="Z593"/>
      <c r="AA593"/>
      <c r="AB593"/>
      <c r="AC593"/>
      <c r="AD593"/>
      <c r="AI593" s="170" t="str">
        <f t="shared" si="199"/>
        <v> </v>
      </c>
      <c r="AJ593" s="168">
        <f t="shared" si="200"/>
        <v>0</v>
      </c>
      <c r="AK593" s="168">
        <f ca="1" t="shared" si="173"/>
        <v>0</v>
      </c>
      <c r="AL593" s="168">
        <f t="shared" si="189"/>
        <v>0</v>
      </c>
      <c r="AM593" s="215"/>
      <c r="AN593" s="170" t="str">
        <f t="shared" si="201"/>
        <v>Disarm</v>
      </c>
      <c r="AO593" s="168">
        <f t="shared" si="202"/>
        <v>0</v>
      </c>
      <c r="AP593" s="168">
        <f ca="1" t="shared" si="170"/>
        <v>0</v>
      </c>
      <c r="AQ593" s="168" t="str">
        <f t="shared" si="203"/>
        <v>D</v>
      </c>
      <c r="AR593" s="168">
        <f t="shared" si="196"/>
        <v>0</v>
      </c>
      <c r="AS593" s="215"/>
      <c r="BQ593" s="211">
        <f t="shared" si="185"/>
        <v>95</v>
      </c>
      <c r="BR593" s="249" t="str">
        <f t="shared" si="179"/>
        <v>Sack, Large</v>
      </c>
      <c r="BS593" s="168">
        <f t="shared" si="180"/>
        <v>0</v>
      </c>
      <c r="BT593" s="168">
        <f t="shared" si="181"/>
        <v>2</v>
      </c>
      <c r="BU593" s="168">
        <f t="shared" si="182"/>
        <v>1</v>
      </c>
      <c r="BV593" s="249">
        <f t="shared" si="197"/>
        <v>5</v>
      </c>
      <c r="BW593" s="249" t="str">
        <f t="shared" si="198"/>
        <v>Large Sack</v>
      </c>
      <c r="BX593" s="249">
        <f t="shared" si="188"/>
        <v>0</v>
      </c>
      <c r="BY593" s="168">
        <f t="shared" si="186"/>
        <v>0</v>
      </c>
      <c r="BZ593" s="171"/>
    </row>
    <row r="594" spans="2:78" ht="12.75">
      <c r="B594" s="117"/>
      <c r="D594" s="117"/>
      <c r="W594"/>
      <c r="X594"/>
      <c r="Y594"/>
      <c r="Z594"/>
      <c r="AA594"/>
      <c r="AB594"/>
      <c r="AC594"/>
      <c r="AD594"/>
      <c r="AI594" s="170" t="str">
        <f t="shared" si="199"/>
        <v> </v>
      </c>
      <c r="AJ594" s="168">
        <f t="shared" si="200"/>
        <v>0</v>
      </c>
      <c r="AK594" s="168">
        <f ca="1" t="shared" si="173"/>
        <v>0</v>
      </c>
      <c r="AL594" s="168">
        <f t="shared" si="189"/>
        <v>0</v>
      </c>
      <c r="AM594" s="215"/>
      <c r="AN594" s="170" t="str">
        <f t="shared" si="201"/>
        <v>Disarm Mechanical Trap</v>
      </c>
      <c r="AO594" s="168">
        <f t="shared" si="202"/>
        <v>0</v>
      </c>
      <c r="AP594" s="168">
        <f ca="1" t="shared" si="170"/>
        <v>0</v>
      </c>
      <c r="AQ594" s="168" t="str">
        <f t="shared" si="203"/>
        <v>D</v>
      </c>
      <c r="AR594" s="168">
        <f t="shared" si="196"/>
        <v>0</v>
      </c>
      <c r="AS594" s="215"/>
      <c r="BQ594" s="211">
        <f t="shared" si="185"/>
        <v>96</v>
      </c>
      <c r="BR594" s="249" t="str">
        <f t="shared" si="179"/>
        <v>Sack, Small</v>
      </c>
      <c r="BS594" s="168">
        <f t="shared" si="180"/>
        <v>0</v>
      </c>
      <c r="BT594" s="168">
        <f t="shared" si="181"/>
        <v>1</v>
      </c>
      <c r="BU594" s="168">
        <f t="shared" si="182"/>
        <v>0</v>
      </c>
      <c r="BV594" s="249">
        <f t="shared" si="197"/>
        <v>5</v>
      </c>
      <c r="BW594" s="249" t="str">
        <f t="shared" si="198"/>
        <v>Small Sack</v>
      </c>
      <c r="BX594" s="249">
        <f t="shared" si="188"/>
        <v>0</v>
      </c>
      <c r="BY594" s="168">
        <f t="shared" si="186"/>
        <v>0</v>
      </c>
      <c r="BZ594" s="171"/>
    </row>
    <row r="595" spans="2:78" ht="12.75">
      <c r="B595" s="117"/>
      <c r="D595" s="117"/>
      <c r="W595"/>
      <c r="X595"/>
      <c r="Y595"/>
      <c r="Z595"/>
      <c r="AA595"/>
      <c r="AB595"/>
      <c r="AC595"/>
      <c r="AD595"/>
      <c r="AI595" s="170" t="str">
        <f t="shared" si="199"/>
        <v> </v>
      </c>
      <c r="AJ595" s="168">
        <f t="shared" si="200"/>
        <v>0</v>
      </c>
      <c r="AK595" s="168">
        <f ca="1" t="shared" si="173"/>
        <v>0</v>
      </c>
      <c r="AL595" s="168">
        <f t="shared" si="189"/>
        <v>0</v>
      </c>
      <c r="AM595" s="215"/>
      <c r="AN595" s="170" t="str">
        <f t="shared" si="201"/>
        <v>Disguise</v>
      </c>
      <c r="AO595" s="168">
        <f t="shared" si="202"/>
        <v>0</v>
      </c>
      <c r="AP595" s="168">
        <f ca="1" t="shared" si="170"/>
        <v>0</v>
      </c>
      <c r="AQ595" s="168" t="str">
        <f t="shared" si="203"/>
        <v>P</v>
      </c>
      <c r="AR595" s="168">
        <f t="shared" si="196"/>
        <v>0</v>
      </c>
      <c r="AS595" s="215"/>
      <c r="BQ595" s="211">
        <f t="shared" si="185"/>
        <v>97</v>
      </c>
      <c r="BR595" s="249" t="str">
        <f aca="true" t="shared" si="204" ref="BR595:BR611">B233</f>
        <v>Sewing Kit</v>
      </c>
      <c r="BS595" s="168">
        <f aca="true" t="shared" si="205" ref="BS595:BS611">F233</f>
        <v>0</v>
      </c>
      <c r="BT595" s="168">
        <f aca="true" t="shared" si="206" ref="BT595:BT611">G233</f>
        <v>5</v>
      </c>
      <c r="BU595" s="168">
        <f aca="true" t="shared" si="207" ref="BU595:BU611">H233</f>
        <v>0</v>
      </c>
      <c r="BV595" s="249" t="e">
        <f t="shared" si="197"/>
        <v>#VALUE!</v>
      </c>
      <c r="BW595" s="249" t="str">
        <f t="shared" si="198"/>
        <v>Sewing Kit</v>
      </c>
      <c r="BX595" s="249">
        <f t="shared" si="188"/>
        <v>0</v>
      </c>
      <c r="BY595" s="168">
        <f t="shared" si="186"/>
        <v>0</v>
      </c>
      <c r="BZ595" s="171"/>
    </row>
    <row r="596" spans="2:78" ht="12.75">
      <c r="B596" s="117"/>
      <c r="D596" s="117"/>
      <c r="W596"/>
      <c r="X596"/>
      <c r="Y596"/>
      <c r="Z596"/>
      <c r="AA596"/>
      <c r="AB596"/>
      <c r="AC596"/>
      <c r="AD596"/>
      <c r="AI596" s="170" t="str">
        <f t="shared" si="199"/>
        <v> </v>
      </c>
      <c r="AJ596" s="168">
        <f t="shared" si="200"/>
        <v>0</v>
      </c>
      <c r="AK596" s="168">
        <f ca="1" t="shared" si="173"/>
        <v>0</v>
      </c>
      <c r="AL596" s="168">
        <f t="shared" si="189"/>
        <v>0</v>
      </c>
      <c r="AM596" s="215"/>
      <c r="AN596" s="170" t="str">
        <f t="shared" si="201"/>
        <v>Down Strike</v>
      </c>
      <c r="AO596" s="168">
        <f t="shared" si="202"/>
        <v>0</v>
      </c>
      <c r="AP596" s="168">
        <f ca="1" t="shared" si="170"/>
        <v>0</v>
      </c>
      <c r="AQ596" s="168" t="str">
        <f t="shared" si="203"/>
        <v>S+3</v>
      </c>
      <c r="AR596" s="168">
        <f t="shared" si="196"/>
        <v>0</v>
      </c>
      <c r="AS596" s="215"/>
      <c r="BQ596" s="211">
        <f t="shared" si="185"/>
        <v>98</v>
      </c>
      <c r="BR596" s="249" t="str">
        <f t="shared" si="204"/>
        <v>Tent (two-person)</v>
      </c>
      <c r="BS596" s="168">
        <f t="shared" si="205"/>
        <v>0</v>
      </c>
      <c r="BT596" s="168">
        <f t="shared" si="206"/>
        <v>30</v>
      </c>
      <c r="BU596" s="168">
        <f t="shared" si="207"/>
        <v>15</v>
      </c>
      <c r="BV596" s="249" t="e">
        <f t="shared" si="197"/>
        <v>#VALUE!</v>
      </c>
      <c r="BW596" s="249" t="str">
        <f t="shared" si="198"/>
        <v>Tent (two-person)</v>
      </c>
      <c r="BX596" s="249">
        <f t="shared" si="188"/>
        <v>0</v>
      </c>
      <c r="BY596" s="168">
        <f t="shared" si="186"/>
        <v>0</v>
      </c>
      <c r="BZ596" s="171"/>
    </row>
    <row r="597" spans="2:78" ht="12.75">
      <c r="B597" s="117"/>
      <c r="D597" s="117"/>
      <c r="W597"/>
      <c r="X597"/>
      <c r="Y597"/>
      <c r="Z597"/>
      <c r="AA597"/>
      <c r="AB597"/>
      <c r="AC597"/>
      <c r="AD597"/>
      <c r="AI597" s="170" t="str">
        <f t="shared" si="199"/>
        <v> </v>
      </c>
      <c r="AJ597" s="168">
        <f t="shared" si="200"/>
        <v>0</v>
      </c>
      <c r="AK597" s="168">
        <f ca="1" t="shared" si="173"/>
        <v>0</v>
      </c>
      <c r="AL597" s="168">
        <f t="shared" si="189"/>
        <v>0</v>
      </c>
      <c r="AM597" s="215"/>
      <c r="AN597" s="170" t="str">
        <f t="shared" si="201"/>
        <v>Emotion Song</v>
      </c>
      <c r="AO597" s="168">
        <f t="shared" si="202"/>
        <v>0</v>
      </c>
      <c r="AP597" s="168">
        <f ca="1" t="shared" si="170"/>
        <v>0</v>
      </c>
      <c r="AQ597" s="168" t="str">
        <f t="shared" si="203"/>
        <v>C</v>
      </c>
      <c r="AR597" s="168">
        <f t="shared" si="196"/>
        <v>0</v>
      </c>
      <c r="AS597" s="215"/>
      <c r="BQ597" s="211">
        <f t="shared" si="185"/>
        <v>99</v>
      </c>
      <c r="BR597" s="249" t="str">
        <f t="shared" si="204"/>
        <v>Thieves' Picks and Tools</v>
      </c>
      <c r="BS597" s="168">
        <f t="shared" si="205"/>
        <v>0</v>
      </c>
      <c r="BT597" s="168">
        <f t="shared" si="206"/>
        <v>100</v>
      </c>
      <c r="BU597" s="168">
        <f t="shared" si="207"/>
        <v>1</v>
      </c>
      <c r="BV597" s="249" t="e">
        <f t="shared" si="197"/>
        <v>#VALUE!</v>
      </c>
      <c r="BW597" s="249" t="str">
        <f t="shared" si="198"/>
        <v>Thieves' Picks and Tools</v>
      </c>
      <c r="BX597" s="249">
        <f t="shared" si="188"/>
        <v>0</v>
      </c>
      <c r="BY597" s="168">
        <f t="shared" si="186"/>
        <v>0</v>
      </c>
      <c r="BZ597" s="171"/>
    </row>
    <row r="598" spans="2:78" ht="12.75">
      <c r="B598" s="117"/>
      <c r="D598" s="117"/>
      <c r="W598"/>
      <c r="X598"/>
      <c r="Y598"/>
      <c r="Z598"/>
      <c r="AA598"/>
      <c r="AB598"/>
      <c r="AC598"/>
      <c r="AD598"/>
      <c r="AI598" s="170" t="str">
        <f t="shared" si="199"/>
        <v> </v>
      </c>
      <c r="AJ598" s="168">
        <f t="shared" si="200"/>
        <v>0</v>
      </c>
      <c r="AK598" s="168">
        <f ca="1" t="shared" si="173"/>
        <v>0</v>
      </c>
      <c r="AL598" s="168">
        <f t="shared" si="189"/>
        <v>0</v>
      </c>
      <c r="AM598" s="215"/>
      <c r="AN598" s="170" t="str">
        <f t="shared" si="201"/>
        <v>Enduring Art</v>
      </c>
      <c r="AO598" s="168">
        <f t="shared" si="202"/>
        <v>0</v>
      </c>
      <c r="AP598" s="168">
        <f ca="1" t="shared" si="170"/>
        <v>0</v>
      </c>
      <c r="AQ598" s="168" t="str">
        <f t="shared" si="203"/>
        <v>P</v>
      </c>
      <c r="AR598" s="168">
        <f t="shared" si="196"/>
        <v>0</v>
      </c>
      <c r="AS598" s="215"/>
      <c r="BQ598" s="211">
        <f t="shared" si="185"/>
        <v>100</v>
      </c>
      <c r="BR598" s="249" t="str">
        <f t="shared" si="204"/>
        <v>Torch</v>
      </c>
      <c r="BS598" s="168">
        <f t="shared" si="205"/>
        <v>0</v>
      </c>
      <c r="BT598" s="168">
        <f t="shared" si="206"/>
        <v>0.5</v>
      </c>
      <c r="BU598" s="168">
        <f t="shared" si="207"/>
        <v>1</v>
      </c>
      <c r="BV598" s="249" t="e">
        <f t="shared" si="197"/>
        <v>#VALUE!</v>
      </c>
      <c r="BW598" s="249" t="str">
        <f t="shared" si="198"/>
        <v>Torch</v>
      </c>
      <c r="BX598" s="249">
        <f t="shared" si="188"/>
        <v>0</v>
      </c>
      <c r="BY598" s="168">
        <f t="shared" si="186"/>
        <v>0</v>
      </c>
      <c r="BZ598" s="171"/>
    </row>
    <row r="599" spans="2:78" ht="12.75">
      <c r="B599" s="117"/>
      <c r="D599" s="117"/>
      <c r="AI599" s="170" t="str">
        <f t="shared" si="199"/>
        <v> </v>
      </c>
      <c r="AJ599" s="168">
        <f t="shared" si="200"/>
        <v>0</v>
      </c>
      <c r="AK599" s="168">
        <f ca="1" t="shared" si="173"/>
        <v>0</v>
      </c>
      <c r="AL599" s="168">
        <f t="shared" si="189"/>
        <v>0</v>
      </c>
      <c r="AM599" s="215"/>
      <c r="AN599" s="170" t="str">
        <f t="shared" si="201"/>
        <v>Engaging Banter</v>
      </c>
      <c r="AO599" s="168">
        <f t="shared" si="202"/>
        <v>0</v>
      </c>
      <c r="AP599" s="168">
        <f ca="1" t="shared" si="170"/>
        <v>0</v>
      </c>
      <c r="AQ599" s="168" t="str">
        <f t="shared" si="203"/>
        <v>C</v>
      </c>
      <c r="AR599" s="168">
        <f t="shared" si="196"/>
        <v>0</v>
      </c>
      <c r="AS599" s="215"/>
      <c r="BQ599" s="211">
        <f t="shared" si="185"/>
        <v>101</v>
      </c>
      <c r="BR599" s="249" t="str">
        <f t="shared" si="204"/>
        <v>Whetstone</v>
      </c>
      <c r="BS599" s="168">
        <f t="shared" si="205"/>
        <v>0</v>
      </c>
      <c r="BT599" s="168">
        <f t="shared" si="206"/>
        <v>0.2</v>
      </c>
      <c r="BU599" s="168">
        <f t="shared" si="207"/>
        <v>1</v>
      </c>
      <c r="BV599" s="249" t="e">
        <f t="shared" si="197"/>
        <v>#VALUE!</v>
      </c>
      <c r="BW599" s="249" t="str">
        <f t="shared" si="198"/>
        <v>Whetstone</v>
      </c>
      <c r="BX599" s="249">
        <f t="shared" si="188"/>
        <v>0</v>
      </c>
      <c r="BY599" s="168">
        <f t="shared" si="186"/>
        <v>0</v>
      </c>
      <c r="BZ599" s="171"/>
    </row>
    <row r="600" spans="2:78" ht="12.75">
      <c r="B600" s="117"/>
      <c r="D600" s="117"/>
      <c r="AI600" s="170" t="str">
        <f t="shared" si="199"/>
        <v> </v>
      </c>
      <c r="AJ600" s="168">
        <f t="shared" si="200"/>
        <v>0</v>
      </c>
      <c r="AK600" s="168">
        <f ca="1" t="shared" si="173"/>
        <v>0</v>
      </c>
      <c r="AL600" s="168">
        <f t="shared" si="189"/>
        <v>0</v>
      </c>
      <c r="AM600" s="215"/>
      <c r="AN600" s="170" t="str">
        <f t="shared" si="201"/>
        <v>Lip Reading</v>
      </c>
      <c r="AO600" s="168">
        <f t="shared" si="202"/>
        <v>0</v>
      </c>
      <c r="AP600" s="168">
        <f ca="1" t="shared" si="170"/>
        <v>0</v>
      </c>
      <c r="AQ600" s="168" t="str">
        <f t="shared" si="203"/>
        <v>C</v>
      </c>
      <c r="AR600" s="168">
        <f t="shared" si="196"/>
        <v>0</v>
      </c>
      <c r="AS600" s="215"/>
      <c r="BQ600" s="211">
        <f t="shared" si="185"/>
        <v>102</v>
      </c>
      <c r="BR600" s="249" t="str">
        <f t="shared" si="204"/>
        <v>Writing-ink Vial (10 pages)</v>
      </c>
      <c r="BS600" s="168">
        <f t="shared" si="205"/>
        <v>0</v>
      </c>
      <c r="BT600" s="168">
        <f t="shared" si="206"/>
        <v>10</v>
      </c>
      <c r="BU600" s="168">
        <f t="shared" si="207"/>
        <v>0.5</v>
      </c>
      <c r="BV600" s="249" t="e">
        <f t="shared" si="197"/>
        <v>#VALUE!</v>
      </c>
      <c r="BW600" s="249" t="str">
        <f t="shared" si="198"/>
        <v>Writing-ink Vial (10 pages)</v>
      </c>
      <c r="BX600" s="249">
        <f t="shared" si="188"/>
        <v>0</v>
      </c>
      <c r="BY600" s="168">
        <f t="shared" si="186"/>
        <v>0</v>
      </c>
      <c r="BZ600" s="171"/>
    </row>
    <row r="601" spans="2:78" ht="12.75">
      <c r="B601" s="117"/>
      <c r="D601" s="117"/>
      <c r="AI601" s="170" t="str">
        <f t="shared" si="199"/>
        <v> </v>
      </c>
      <c r="AJ601" s="168">
        <f t="shared" si="200"/>
        <v>0</v>
      </c>
      <c r="AK601" s="168">
        <f ca="1" t="shared" si="173"/>
        <v>0</v>
      </c>
      <c r="AL601" s="168">
        <f t="shared" si="189"/>
        <v>0</v>
      </c>
      <c r="AM601" s="215"/>
      <c r="AN601" s="170" t="str">
        <f t="shared" si="201"/>
        <v>Maneuver</v>
      </c>
      <c r="AO601" s="168">
        <f t="shared" si="202"/>
        <v>0</v>
      </c>
      <c r="AP601" s="168">
        <f ca="1" t="shared" si="170"/>
        <v>0</v>
      </c>
      <c r="AQ601" s="168" t="str">
        <f t="shared" si="203"/>
        <v>D</v>
      </c>
      <c r="AR601" s="168">
        <f t="shared" si="196"/>
        <v>0</v>
      </c>
      <c r="AS601" s="215"/>
      <c r="BQ601" s="211">
        <f t="shared" si="185"/>
        <v>103</v>
      </c>
      <c r="BR601" s="249">
        <f t="shared" si="204"/>
        <v>0</v>
      </c>
      <c r="BS601" s="168">
        <f t="shared" si="205"/>
        <v>0</v>
      </c>
      <c r="BT601" s="168">
        <f t="shared" si="206"/>
        <v>0</v>
      </c>
      <c r="BU601" s="168">
        <f t="shared" si="207"/>
        <v>0</v>
      </c>
      <c r="BV601" s="249" t="e">
        <f t="shared" si="197"/>
        <v>#VALUE!</v>
      </c>
      <c r="BW601" s="249" t="str">
        <f t="shared" si="198"/>
        <v>0</v>
      </c>
      <c r="BX601" s="249">
        <f t="shared" si="188"/>
        <v>0</v>
      </c>
      <c r="BY601" s="168">
        <f t="shared" si="186"/>
        <v>0</v>
      </c>
      <c r="BZ601" s="171"/>
    </row>
    <row r="602" spans="2:78" ht="12.75">
      <c r="B602" s="117"/>
      <c r="D602" s="117"/>
      <c r="AI602" s="170" t="str">
        <f t="shared" si="199"/>
        <v> </v>
      </c>
      <c r="AJ602" s="168">
        <f t="shared" si="200"/>
        <v>0</v>
      </c>
      <c r="AK602" s="168">
        <f ca="1" t="shared" si="173"/>
        <v>0</v>
      </c>
      <c r="AL602" s="168">
        <f t="shared" si="189"/>
        <v>0</v>
      </c>
      <c r="AM602" s="215"/>
      <c r="AN602" s="170" t="str">
        <f t="shared" si="201"/>
        <v>Melee Weapons</v>
      </c>
      <c r="AO602" s="168">
        <f t="shared" si="202"/>
        <v>0</v>
      </c>
      <c r="AP602" s="168">
        <f ca="1" t="shared" si="170"/>
        <v>0</v>
      </c>
      <c r="AQ602" s="168" t="str">
        <f t="shared" si="203"/>
        <v>D</v>
      </c>
      <c r="AR602" s="168">
        <f t="shared" si="196"/>
        <v>0</v>
      </c>
      <c r="AS602" s="215"/>
      <c r="BQ602" s="211">
        <f t="shared" si="185"/>
        <v>104</v>
      </c>
      <c r="BR602" s="249">
        <f t="shared" si="204"/>
        <v>0</v>
      </c>
      <c r="BS602" s="168">
        <f t="shared" si="205"/>
        <v>0</v>
      </c>
      <c r="BT602" s="168">
        <f t="shared" si="206"/>
        <v>0</v>
      </c>
      <c r="BU602" s="168">
        <f t="shared" si="207"/>
        <v>0</v>
      </c>
      <c r="BV602" s="249" t="e">
        <f t="shared" si="197"/>
        <v>#VALUE!</v>
      </c>
      <c r="BW602" s="249" t="str">
        <f t="shared" si="198"/>
        <v>0</v>
      </c>
      <c r="BX602" s="249">
        <f t="shared" si="188"/>
        <v>0</v>
      </c>
      <c r="BY602" s="168">
        <f t="shared" si="186"/>
        <v>0</v>
      </c>
      <c r="BZ602" s="171"/>
    </row>
    <row r="603" spans="2:78" ht="12.75">
      <c r="B603" s="117"/>
      <c r="D603" s="117"/>
      <c r="AI603" s="170" t="str">
        <f t="shared" si="199"/>
        <v> </v>
      </c>
      <c r="AJ603" s="168">
        <f t="shared" si="200"/>
        <v>0</v>
      </c>
      <c r="AK603" s="168">
        <f ca="1" t="shared" si="173"/>
        <v>0</v>
      </c>
      <c r="AL603" s="168">
        <f t="shared" si="189"/>
        <v>0</v>
      </c>
      <c r="AM603" s="215"/>
      <c r="AN603" s="170" t="str">
        <f t="shared" si="201"/>
        <v>Mimic Voice</v>
      </c>
      <c r="AO603" s="168">
        <f t="shared" si="202"/>
        <v>0</v>
      </c>
      <c r="AP603" s="168">
        <f ca="1" t="shared" si="170"/>
        <v>0</v>
      </c>
      <c r="AQ603" s="168" t="str">
        <f t="shared" si="203"/>
        <v>P</v>
      </c>
      <c r="AR603" s="168">
        <f t="shared" si="196"/>
        <v>0</v>
      </c>
      <c r="AS603" s="215"/>
      <c r="BQ603" s="211">
        <f t="shared" si="185"/>
        <v>105</v>
      </c>
      <c r="BR603" s="249">
        <f t="shared" si="204"/>
        <v>0</v>
      </c>
      <c r="BS603" s="168">
        <f t="shared" si="205"/>
        <v>0</v>
      </c>
      <c r="BT603" s="168">
        <f t="shared" si="206"/>
        <v>0</v>
      </c>
      <c r="BU603" s="168">
        <f t="shared" si="207"/>
        <v>0</v>
      </c>
      <c r="BV603" s="249" t="e">
        <f t="shared" si="197"/>
        <v>#VALUE!</v>
      </c>
      <c r="BW603" s="249" t="str">
        <f t="shared" si="198"/>
        <v>0</v>
      </c>
      <c r="BX603" s="249">
        <f t="shared" si="188"/>
        <v>0</v>
      </c>
      <c r="BY603" s="168">
        <f t="shared" si="186"/>
        <v>0</v>
      </c>
      <c r="BZ603" s="171"/>
    </row>
    <row r="604" spans="2:78" ht="12.75">
      <c r="B604" s="117"/>
      <c r="D604" s="117"/>
      <c r="AI604" s="170" t="str">
        <f t="shared" si="199"/>
        <v> </v>
      </c>
      <c r="AJ604" s="168">
        <f t="shared" si="200"/>
        <v>0</v>
      </c>
      <c r="AK604" s="168">
        <f ca="1" t="shared" si="173"/>
        <v>0</v>
      </c>
      <c r="AL604" s="168">
        <f t="shared" si="189"/>
        <v>0</v>
      </c>
      <c r="AM604" s="215"/>
      <c r="AN604" s="170" t="str">
        <f t="shared" si="201"/>
        <v>Missile Weapons</v>
      </c>
      <c r="AO604" s="168">
        <f t="shared" si="202"/>
        <v>0</v>
      </c>
      <c r="AP604" s="168">
        <f ca="1" t="shared" si="170"/>
        <v>0</v>
      </c>
      <c r="AQ604" s="168" t="str">
        <f t="shared" si="203"/>
        <v>D</v>
      </c>
      <c r="AR604" s="168">
        <f t="shared" si="196"/>
        <v>0</v>
      </c>
      <c r="AS604" s="215"/>
      <c r="BQ604" s="211">
        <f t="shared" si="185"/>
        <v>106</v>
      </c>
      <c r="BR604" s="249">
        <f t="shared" si="204"/>
        <v>0</v>
      </c>
      <c r="BS604" s="168">
        <f t="shared" si="205"/>
        <v>0</v>
      </c>
      <c r="BT604" s="168">
        <f t="shared" si="206"/>
        <v>0</v>
      </c>
      <c r="BU604" s="168">
        <f t="shared" si="207"/>
        <v>0</v>
      </c>
      <c r="BV604" s="249" t="e">
        <f t="shared" si="197"/>
        <v>#VALUE!</v>
      </c>
      <c r="BW604" s="249" t="str">
        <f t="shared" si="198"/>
        <v>0</v>
      </c>
      <c r="BX604" s="249">
        <f t="shared" si="188"/>
        <v>0</v>
      </c>
      <c r="BY604" s="168">
        <f t="shared" si="186"/>
        <v>0</v>
      </c>
      <c r="BZ604" s="171"/>
    </row>
    <row r="605" spans="2:78" ht="12.75">
      <c r="B605" s="117"/>
      <c r="D605" s="117"/>
      <c r="AI605" s="170" t="str">
        <f t="shared" si="199"/>
        <v> </v>
      </c>
      <c r="AJ605" s="168">
        <f t="shared" si="200"/>
        <v>0</v>
      </c>
      <c r="AK605" s="168">
        <f ca="1" t="shared" si="173"/>
        <v>0</v>
      </c>
      <c r="AL605" s="168">
        <f aca="true" t="shared" si="208" ref="AL605:AL613">AL604+IF(AND(AI605&lt;&gt;" ",AJ605&gt;0),1,0)</f>
        <v>0</v>
      </c>
      <c r="AM605" s="215"/>
      <c r="AN605" s="170" t="str">
        <f t="shared" si="201"/>
        <v>Momentum Attack</v>
      </c>
      <c r="AO605" s="168">
        <f t="shared" si="202"/>
        <v>0</v>
      </c>
      <c r="AP605" s="168">
        <f ca="1" t="shared" si="170"/>
        <v>0</v>
      </c>
      <c r="AQ605" s="168" t="str">
        <f t="shared" si="203"/>
        <v>D</v>
      </c>
      <c r="AR605" s="168">
        <f t="shared" si="196"/>
        <v>0</v>
      </c>
      <c r="AS605" s="215"/>
      <c r="BQ605" s="211">
        <f t="shared" si="185"/>
        <v>107</v>
      </c>
      <c r="BR605" s="249">
        <f t="shared" si="204"/>
        <v>0</v>
      </c>
      <c r="BS605" s="168">
        <f t="shared" si="205"/>
        <v>0</v>
      </c>
      <c r="BT605" s="168">
        <f t="shared" si="206"/>
        <v>0</v>
      </c>
      <c r="BU605" s="168">
        <f t="shared" si="207"/>
        <v>0</v>
      </c>
      <c r="BV605" s="249" t="e">
        <f t="shared" si="197"/>
        <v>#VALUE!</v>
      </c>
      <c r="BW605" s="249" t="str">
        <f t="shared" si="198"/>
        <v>0</v>
      </c>
      <c r="BX605" s="249">
        <f t="shared" si="188"/>
        <v>0</v>
      </c>
      <c r="BY605" s="168">
        <f t="shared" si="186"/>
        <v>0</v>
      </c>
      <c r="BZ605" s="171"/>
    </row>
    <row r="606" spans="2:78" ht="12.75">
      <c r="B606" s="117"/>
      <c r="D606" s="117"/>
      <c r="AI606" s="170" t="str">
        <f t="shared" si="199"/>
        <v> </v>
      </c>
      <c r="AJ606" s="168">
        <f t="shared" si="200"/>
        <v>0</v>
      </c>
      <c r="AK606" s="168">
        <f ca="1" t="shared" si="173"/>
        <v>0</v>
      </c>
      <c r="AL606" s="168">
        <f t="shared" si="208"/>
        <v>0</v>
      </c>
      <c r="AM606" s="215"/>
      <c r="AN606" s="170" t="str">
        <f t="shared" si="201"/>
        <v>Picking Pockets</v>
      </c>
      <c r="AO606" s="168">
        <f t="shared" si="202"/>
        <v>0</v>
      </c>
      <c r="AP606" s="168">
        <f ca="1" t="shared" si="170"/>
        <v>0</v>
      </c>
      <c r="AQ606" s="168" t="str">
        <f t="shared" si="203"/>
        <v>D</v>
      </c>
      <c r="AR606" s="168">
        <f t="shared" si="196"/>
        <v>0</v>
      </c>
      <c r="AS606" s="215"/>
      <c r="BQ606" s="211">
        <f t="shared" si="185"/>
        <v>108</v>
      </c>
      <c r="BR606" s="249">
        <f t="shared" si="204"/>
        <v>0</v>
      </c>
      <c r="BS606" s="168">
        <f t="shared" si="205"/>
        <v>0</v>
      </c>
      <c r="BT606" s="168">
        <f t="shared" si="206"/>
        <v>0</v>
      </c>
      <c r="BU606" s="168">
        <f t="shared" si="207"/>
        <v>0</v>
      </c>
      <c r="BV606" s="249" t="e">
        <f t="shared" si="197"/>
        <v>#VALUE!</v>
      </c>
      <c r="BW606" s="249" t="str">
        <f t="shared" si="198"/>
        <v>0</v>
      </c>
      <c r="BX606" s="249">
        <f t="shared" si="188"/>
        <v>0</v>
      </c>
      <c r="BY606" s="168">
        <f t="shared" si="186"/>
        <v>0</v>
      </c>
      <c r="BZ606" s="171"/>
    </row>
    <row r="607" spans="2:78" ht="12.75">
      <c r="B607" s="117"/>
      <c r="D607" s="117"/>
      <c r="AI607" s="170" t="str">
        <f t="shared" si="199"/>
        <v> </v>
      </c>
      <c r="AJ607" s="168">
        <f t="shared" si="200"/>
        <v>0</v>
      </c>
      <c r="AK607" s="168">
        <f ca="1" t="shared" si="173"/>
        <v>0</v>
      </c>
      <c r="AL607" s="168">
        <f t="shared" si="208"/>
        <v>0</v>
      </c>
      <c r="AM607" s="215"/>
      <c r="AN607" s="170" t="str">
        <f t="shared" si="201"/>
        <v>Pilot Boat</v>
      </c>
      <c r="AO607" s="168">
        <f t="shared" si="202"/>
        <v>0</v>
      </c>
      <c r="AP607" s="168">
        <f ca="1" t="shared" si="170"/>
        <v>0</v>
      </c>
      <c r="AQ607" s="168" t="str">
        <f t="shared" si="203"/>
        <v>W</v>
      </c>
      <c r="AR607" s="168">
        <f t="shared" si="196"/>
        <v>0</v>
      </c>
      <c r="AS607" s="215"/>
      <c r="BQ607" s="211">
        <f t="shared" si="185"/>
        <v>109</v>
      </c>
      <c r="BR607" s="249">
        <f t="shared" si="204"/>
        <v>0</v>
      </c>
      <c r="BS607" s="168">
        <f t="shared" si="205"/>
        <v>0</v>
      </c>
      <c r="BT607" s="168">
        <f t="shared" si="206"/>
        <v>0</v>
      </c>
      <c r="BU607" s="168">
        <f t="shared" si="207"/>
        <v>0</v>
      </c>
      <c r="BV607" s="249" t="e">
        <f t="shared" si="197"/>
        <v>#VALUE!</v>
      </c>
      <c r="BW607" s="249" t="str">
        <f t="shared" si="198"/>
        <v>0</v>
      </c>
      <c r="BX607" s="249">
        <f t="shared" si="188"/>
        <v>0</v>
      </c>
      <c r="BY607" s="168">
        <f t="shared" si="186"/>
        <v>0</v>
      </c>
      <c r="BZ607" s="171"/>
    </row>
    <row r="608" spans="2:78" ht="12.75">
      <c r="B608" s="117"/>
      <c r="D608" s="117"/>
      <c r="AI608" s="170" t="str">
        <f t="shared" si="199"/>
        <v> </v>
      </c>
      <c r="AJ608" s="168">
        <f t="shared" si="200"/>
        <v>0</v>
      </c>
      <c r="AK608" s="168">
        <f ca="1" t="shared" si="173"/>
        <v>0</v>
      </c>
      <c r="AL608" s="168">
        <f t="shared" si="208"/>
        <v>0</v>
      </c>
      <c r="AM608" s="215"/>
      <c r="AN608" s="170" t="str">
        <f t="shared" si="201"/>
        <v>Pin</v>
      </c>
      <c r="AO608" s="168">
        <f t="shared" si="202"/>
        <v>0</v>
      </c>
      <c r="AP608" s="168">
        <f aca="true" ca="1" t="shared" si="209" ref="AP608:AP637">OFFSET(CostSkill,AO608,0)</f>
        <v>0</v>
      </c>
      <c r="AQ608" s="168" t="str">
        <f t="shared" si="203"/>
        <v>D</v>
      </c>
      <c r="AR608" s="168">
        <f t="shared" si="196"/>
        <v>0</v>
      </c>
      <c r="AS608" s="215"/>
      <c r="BQ608" s="211">
        <f t="shared" si="185"/>
        <v>110</v>
      </c>
      <c r="BR608" s="249">
        <f t="shared" si="204"/>
        <v>0</v>
      </c>
      <c r="BS608" s="168">
        <f t="shared" si="205"/>
        <v>0</v>
      </c>
      <c r="BT608" s="168">
        <f t="shared" si="206"/>
        <v>0</v>
      </c>
      <c r="BU608" s="168">
        <f t="shared" si="207"/>
        <v>0</v>
      </c>
      <c r="BV608" s="249" t="e">
        <f t="shared" si="197"/>
        <v>#VALUE!</v>
      </c>
      <c r="BW608" s="249" t="str">
        <f t="shared" si="198"/>
        <v>0</v>
      </c>
      <c r="BX608" s="249">
        <f t="shared" si="188"/>
        <v>0</v>
      </c>
      <c r="BY608" s="168">
        <f t="shared" si="186"/>
        <v>0</v>
      </c>
      <c r="BZ608" s="171"/>
    </row>
    <row r="609" spans="2:78" ht="12.75">
      <c r="B609" s="117"/>
      <c r="D609" s="117"/>
      <c r="AI609" s="170" t="str">
        <f t="shared" si="199"/>
        <v> </v>
      </c>
      <c r="AJ609" s="168">
        <f t="shared" si="200"/>
        <v>0</v>
      </c>
      <c r="AK609" s="168">
        <f ca="1" t="shared" si="173"/>
        <v>0</v>
      </c>
      <c r="AL609" s="168">
        <f t="shared" si="208"/>
        <v>0</v>
      </c>
      <c r="AM609" s="215"/>
      <c r="AN609" s="170" t="str">
        <f t="shared" si="201"/>
        <v>Quickblade</v>
      </c>
      <c r="AO609" s="168">
        <f t="shared" si="202"/>
        <v>0</v>
      </c>
      <c r="AP609" s="168">
        <f ca="1" t="shared" si="209"/>
        <v>0</v>
      </c>
      <c r="AQ609" s="168" t="str">
        <f t="shared" si="203"/>
        <v>D</v>
      </c>
      <c r="AR609" s="168">
        <f t="shared" si="196"/>
        <v>0</v>
      </c>
      <c r="AS609" s="215"/>
      <c r="BQ609" s="211">
        <f t="shared" si="185"/>
        <v>111</v>
      </c>
      <c r="BR609" s="249">
        <f t="shared" si="204"/>
        <v>0</v>
      </c>
      <c r="BS609" s="168">
        <f t="shared" si="205"/>
        <v>0</v>
      </c>
      <c r="BT609" s="168">
        <f t="shared" si="206"/>
        <v>0</v>
      </c>
      <c r="BU609" s="168">
        <f t="shared" si="207"/>
        <v>0</v>
      </c>
      <c r="BV609" s="249" t="e">
        <f t="shared" si="197"/>
        <v>#VALUE!</v>
      </c>
      <c r="BW609" s="249" t="str">
        <f t="shared" si="198"/>
        <v>0</v>
      </c>
      <c r="BX609" s="249">
        <f t="shared" si="188"/>
        <v>0</v>
      </c>
      <c r="BY609" s="168">
        <f t="shared" si="186"/>
        <v>0</v>
      </c>
      <c r="BZ609" s="171"/>
    </row>
    <row r="610" spans="2:78" ht="12.75">
      <c r="B610" s="117"/>
      <c r="D610" s="117"/>
      <c r="AI610" s="170" t="str">
        <f t="shared" si="199"/>
        <v> </v>
      </c>
      <c r="AJ610" s="168">
        <f t="shared" si="200"/>
        <v>0</v>
      </c>
      <c r="AK610" s="168">
        <f ca="1" t="shared" si="173"/>
        <v>0</v>
      </c>
      <c r="AL610" s="168">
        <f t="shared" si="208"/>
        <v>0</v>
      </c>
      <c r="AM610" s="215"/>
      <c r="AN610" s="170" t="str">
        <f t="shared" si="201"/>
        <v>Read &amp; Write Language</v>
      </c>
      <c r="AO610" s="168">
        <f t="shared" si="202"/>
        <v>0</v>
      </c>
      <c r="AP610" s="168">
        <f ca="1" t="shared" si="209"/>
        <v>0</v>
      </c>
      <c r="AQ610" s="168" t="str">
        <f t="shared" si="203"/>
        <v>P</v>
      </c>
      <c r="AR610" s="168">
        <f t="shared" si="196"/>
        <v>0</v>
      </c>
      <c r="AS610" s="215"/>
      <c r="BQ610" s="211">
        <f t="shared" si="185"/>
        <v>112</v>
      </c>
      <c r="BR610" s="249">
        <f t="shared" si="204"/>
        <v>0</v>
      </c>
      <c r="BS610" s="168">
        <f t="shared" si="205"/>
        <v>0</v>
      </c>
      <c r="BT610" s="168">
        <f t="shared" si="206"/>
        <v>0</v>
      </c>
      <c r="BU610" s="168">
        <f t="shared" si="207"/>
        <v>0</v>
      </c>
      <c r="BV610" s="249" t="e">
        <f t="shared" si="197"/>
        <v>#VALUE!</v>
      </c>
      <c r="BW610" s="249" t="str">
        <f t="shared" si="198"/>
        <v>0</v>
      </c>
      <c r="BX610" s="249">
        <f t="shared" si="188"/>
        <v>0</v>
      </c>
      <c r="BY610" s="168">
        <f t="shared" si="186"/>
        <v>0</v>
      </c>
      <c r="BZ610" s="171"/>
    </row>
    <row r="611" spans="2:78" ht="12.75">
      <c r="B611" s="117"/>
      <c r="D611" s="117"/>
      <c r="AI611" s="170" t="str">
        <f t="shared" si="199"/>
        <v> </v>
      </c>
      <c r="AJ611" s="168">
        <f t="shared" si="200"/>
        <v>0</v>
      </c>
      <c r="AK611" s="168">
        <f ca="1" t="shared" si="173"/>
        <v>0</v>
      </c>
      <c r="AL611" s="168">
        <f t="shared" si="208"/>
        <v>0</v>
      </c>
      <c r="AM611" s="215"/>
      <c r="AN611" s="170" t="str">
        <f t="shared" si="201"/>
        <v>Read &amp; Write Magic</v>
      </c>
      <c r="AO611" s="168">
        <f t="shared" si="202"/>
        <v>0</v>
      </c>
      <c r="AP611" s="168">
        <f ca="1" t="shared" si="209"/>
        <v>0</v>
      </c>
      <c r="AQ611" s="168" t="str">
        <f t="shared" si="203"/>
        <v>P</v>
      </c>
      <c r="AR611" s="168">
        <f t="shared" si="196"/>
        <v>0</v>
      </c>
      <c r="AS611" s="215"/>
      <c r="BQ611" s="211">
        <f t="shared" si="185"/>
        <v>113</v>
      </c>
      <c r="BR611" s="249">
        <f t="shared" si="204"/>
        <v>0</v>
      </c>
      <c r="BS611" s="168">
        <f t="shared" si="205"/>
        <v>0</v>
      </c>
      <c r="BT611" s="168">
        <f t="shared" si="206"/>
        <v>0</v>
      </c>
      <c r="BU611" s="168">
        <f t="shared" si="207"/>
        <v>0</v>
      </c>
      <c r="BV611" s="249" t="e">
        <f t="shared" si="197"/>
        <v>#VALUE!</v>
      </c>
      <c r="BW611" s="249" t="str">
        <f t="shared" si="198"/>
        <v>0</v>
      </c>
      <c r="BX611" s="249">
        <f t="shared" si="188"/>
        <v>0</v>
      </c>
      <c r="BY611" s="168">
        <f t="shared" si="186"/>
        <v>0</v>
      </c>
      <c r="BZ611" s="171"/>
    </row>
    <row r="612" spans="35:78" ht="12.75">
      <c r="AI612" s="170" t="str">
        <f t="shared" si="199"/>
        <v> </v>
      </c>
      <c r="AJ612" s="168">
        <f t="shared" si="200"/>
        <v>0</v>
      </c>
      <c r="AK612" s="168">
        <f ca="1" t="shared" si="173"/>
        <v>0</v>
      </c>
      <c r="AL612" s="168">
        <f t="shared" si="208"/>
        <v>0</v>
      </c>
      <c r="AM612" s="215"/>
      <c r="AN612" s="170" t="str">
        <f t="shared" si="201"/>
        <v>Read River</v>
      </c>
      <c r="AO612" s="168">
        <f t="shared" si="202"/>
        <v>0</v>
      </c>
      <c r="AP612" s="168">
        <f ca="1" t="shared" si="209"/>
        <v>0</v>
      </c>
      <c r="AQ612" s="168" t="str">
        <f t="shared" si="203"/>
        <v>P</v>
      </c>
      <c r="AR612" s="168">
        <f t="shared" si="196"/>
        <v>0</v>
      </c>
      <c r="AS612" s="215"/>
      <c r="BQ612" s="211">
        <f t="shared" si="185"/>
        <v>114</v>
      </c>
      <c r="BR612" s="249" t="str">
        <f aca="true" t="shared" si="210" ref="BR612:BR623">R201</f>
        <v>Artisan tools for Carving</v>
      </c>
      <c r="BS612" s="168">
        <f aca="true" t="shared" si="211" ref="BS612:BS623">V201</f>
        <v>0</v>
      </c>
      <c r="BT612" s="168">
        <f aca="true" t="shared" si="212" ref="BT612:BT623">W201</f>
        <v>15</v>
      </c>
      <c r="BU612" s="168">
        <f aca="true" t="shared" si="213" ref="BU612:BU623">X201</f>
        <v>1</v>
      </c>
      <c r="BV612" s="249" t="e">
        <f t="shared" si="197"/>
        <v>#VALUE!</v>
      </c>
      <c r="BW612" s="249" t="str">
        <f t="shared" si="198"/>
        <v>Artisan tools for Carving</v>
      </c>
      <c r="BX612" s="249">
        <f t="shared" si="188"/>
        <v>0</v>
      </c>
      <c r="BY612" s="168">
        <f t="shared" si="186"/>
        <v>0</v>
      </c>
      <c r="BZ612" s="171"/>
    </row>
    <row r="613" spans="35:78" ht="12.75">
      <c r="AI613" s="209" t="str">
        <f t="shared" si="199"/>
        <v> </v>
      </c>
      <c r="AJ613" s="131">
        <f t="shared" si="200"/>
        <v>0</v>
      </c>
      <c r="AK613" s="131">
        <f ca="1" t="shared" si="173"/>
        <v>0</v>
      </c>
      <c r="AL613" s="131">
        <f t="shared" si="208"/>
        <v>0</v>
      </c>
      <c r="AM613" s="132"/>
      <c r="AN613" s="170" t="str">
        <f t="shared" si="201"/>
        <v>Riposte</v>
      </c>
      <c r="AO613" s="168">
        <f t="shared" si="202"/>
        <v>0</v>
      </c>
      <c r="AP613" s="168">
        <f ca="1" t="shared" si="209"/>
        <v>0</v>
      </c>
      <c r="AQ613" s="168" t="str">
        <f t="shared" si="203"/>
        <v>D+3</v>
      </c>
      <c r="AR613" s="168">
        <f t="shared" si="196"/>
        <v>0</v>
      </c>
      <c r="AS613" s="215"/>
      <c r="BQ613" s="211">
        <f t="shared" si="185"/>
        <v>115</v>
      </c>
      <c r="BR613" s="249" t="str">
        <f t="shared" si="210"/>
        <v>Artisan tools for Embroidery</v>
      </c>
      <c r="BS613" s="168">
        <f t="shared" si="211"/>
        <v>0</v>
      </c>
      <c r="BT613" s="168">
        <f t="shared" si="212"/>
        <v>25</v>
      </c>
      <c r="BU613" s="168">
        <f t="shared" si="213"/>
        <v>1</v>
      </c>
      <c r="BV613" s="249" t="e">
        <f t="shared" si="197"/>
        <v>#VALUE!</v>
      </c>
      <c r="BW613" s="249" t="str">
        <f t="shared" si="198"/>
        <v>Artisan tools for Embroidery</v>
      </c>
      <c r="BX613" s="249">
        <f t="shared" si="188"/>
        <v>0</v>
      </c>
      <c r="BY613" s="168">
        <f t="shared" si="186"/>
        <v>0</v>
      </c>
      <c r="BZ613" s="171"/>
    </row>
    <row r="614" spans="35:78" ht="12.75">
      <c r="AI614"/>
      <c r="AM614" s="117"/>
      <c r="AN614" s="170" t="str">
        <f t="shared" si="201"/>
        <v>Rushing Attack</v>
      </c>
      <c r="AO614" s="168">
        <f t="shared" si="202"/>
        <v>0</v>
      </c>
      <c r="AP614" s="168">
        <f ca="1" t="shared" si="209"/>
        <v>0</v>
      </c>
      <c r="AQ614" s="168" t="str">
        <f t="shared" si="203"/>
        <v>D</v>
      </c>
      <c r="AR614" s="168">
        <f t="shared" si="196"/>
        <v>0</v>
      </c>
      <c r="AS614" s="215"/>
      <c r="BQ614" s="211">
        <f t="shared" si="185"/>
        <v>116</v>
      </c>
      <c r="BR614" s="249" t="str">
        <f t="shared" si="210"/>
        <v>Artisan tools for Painting</v>
      </c>
      <c r="BS614" s="168">
        <f t="shared" si="211"/>
        <v>0</v>
      </c>
      <c r="BT614" s="168">
        <f t="shared" si="212"/>
        <v>45</v>
      </c>
      <c r="BU614" s="168">
        <f t="shared" si="213"/>
        <v>2</v>
      </c>
      <c r="BV614" s="249" t="e">
        <f t="shared" si="197"/>
        <v>#VALUE!</v>
      </c>
      <c r="BW614" s="249" t="str">
        <f t="shared" si="198"/>
        <v>Artisan tools for Painting</v>
      </c>
      <c r="BX614" s="249">
        <f t="shared" si="188"/>
        <v>0</v>
      </c>
      <c r="BY614" s="168">
        <f t="shared" si="186"/>
        <v>0</v>
      </c>
      <c r="BZ614" s="171"/>
    </row>
    <row r="615" spans="35:78" ht="12.75">
      <c r="AI615"/>
      <c r="AM615" s="117"/>
      <c r="AN615" s="170" t="str">
        <f t="shared" si="201"/>
        <v>Second Attack</v>
      </c>
      <c r="AO615" s="168">
        <f t="shared" si="202"/>
        <v>0</v>
      </c>
      <c r="AP615" s="168">
        <f ca="1" t="shared" si="209"/>
        <v>0</v>
      </c>
      <c r="AQ615" s="168" t="str">
        <f t="shared" si="203"/>
        <v>D</v>
      </c>
      <c r="AR615" s="168">
        <f t="shared" si="196"/>
        <v>0</v>
      </c>
      <c r="AS615" s="215"/>
      <c r="BQ615" s="211">
        <f t="shared" si="185"/>
        <v>117</v>
      </c>
      <c r="BR615" s="249" t="str">
        <f t="shared" si="210"/>
        <v>Artisan tools for Sculpting</v>
      </c>
      <c r="BS615" s="168">
        <f t="shared" si="211"/>
        <v>0</v>
      </c>
      <c r="BT615" s="168">
        <f t="shared" si="212"/>
        <v>30</v>
      </c>
      <c r="BU615" s="168">
        <f t="shared" si="213"/>
        <v>1</v>
      </c>
      <c r="BV615" s="249" t="e">
        <f t="shared" si="197"/>
        <v>#VALUE!</v>
      </c>
      <c r="BW615" s="249" t="str">
        <f t="shared" si="198"/>
        <v>Artisan tools for Sculpting</v>
      </c>
      <c r="BX615" s="249">
        <f t="shared" si="188"/>
        <v>0</v>
      </c>
      <c r="BY615" s="168">
        <f t="shared" si="186"/>
        <v>0</v>
      </c>
      <c r="BZ615" s="171"/>
    </row>
    <row r="616" spans="35:78" ht="12.75">
      <c r="AI616"/>
      <c r="AM616" s="117"/>
      <c r="AN616" s="170" t="str">
        <f t="shared" si="201"/>
        <v>Second Weapon</v>
      </c>
      <c r="AO616" s="168">
        <f t="shared" si="202"/>
        <v>0</v>
      </c>
      <c r="AP616" s="168">
        <f ca="1" t="shared" si="209"/>
        <v>0</v>
      </c>
      <c r="AQ616" s="168" t="str">
        <f t="shared" si="203"/>
        <v>D</v>
      </c>
      <c r="AR616" s="168">
        <f t="shared" si="196"/>
        <v>0</v>
      </c>
      <c r="AS616" s="215"/>
      <c r="BQ616" s="211">
        <f t="shared" si="185"/>
        <v>118</v>
      </c>
      <c r="BR616" s="249" t="str">
        <f t="shared" si="210"/>
        <v>Musical instrument, Whistle</v>
      </c>
      <c r="BS616" s="168">
        <f t="shared" si="211"/>
        <v>0</v>
      </c>
      <c r="BT616" s="168">
        <f t="shared" si="212"/>
        <v>0.2</v>
      </c>
      <c r="BU616" s="168">
        <f t="shared" si="213"/>
        <v>1</v>
      </c>
      <c r="BV616" s="249">
        <f t="shared" si="197"/>
        <v>19</v>
      </c>
      <c r="BW616" s="249" t="str">
        <f t="shared" si="198"/>
        <v>Whistle Musical instrument</v>
      </c>
      <c r="BX616" s="249">
        <f t="shared" si="188"/>
        <v>0</v>
      </c>
      <c r="BY616" s="168">
        <f t="shared" si="186"/>
        <v>0</v>
      </c>
      <c r="BZ616" s="171"/>
    </row>
    <row r="617" spans="35:78" ht="12.75">
      <c r="AI617"/>
      <c r="AM617" s="117"/>
      <c r="AN617" s="170" t="str">
        <f t="shared" si="201"/>
        <v>Shackle Shrug</v>
      </c>
      <c r="AO617" s="168">
        <f t="shared" si="202"/>
        <v>0</v>
      </c>
      <c r="AP617" s="168">
        <f ca="1" t="shared" si="209"/>
        <v>0</v>
      </c>
      <c r="AQ617" s="168" t="str">
        <f t="shared" si="203"/>
        <v>D</v>
      </c>
      <c r="AR617" s="168">
        <f t="shared" si="196"/>
        <v>0</v>
      </c>
      <c r="AS617" s="215"/>
      <c r="BQ617" s="211">
        <f t="shared" si="185"/>
        <v>119</v>
      </c>
      <c r="BR617" s="249" t="str">
        <f t="shared" si="210"/>
        <v>Musical instrument, Flute</v>
      </c>
      <c r="BS617" s="168">
        <f t="shared" si="211"/>
        <v>0</v>
      </c>
      <c r="BT617" s="168">
        <f t="shared" si="212"/>
        <v>2</v>
      </c>
      <c r="BU617" s="168">
        <f t="shared" si="213"/>
        <v>1</v>
      </c>
      <c r="BV617" s="249">
        <f t="shared" si="197"/>
        <v>19</v>
      </c>
      <c r="BW617" s="249" t="str">
        <f t="shared" si="198"/>
        <v>Flute Musical instrument</v>
      </c>
      <c r="BX617" s="249">
        <f t="shared" si="188"/>
        <v>0</v>
      </c>
      <c r="BY617" s="168">
        <f t="shared" si="186"/>
        <v>0</v>
      </c>
      <c r="BZ617" s="171"/>
    </row>
    <row r="618" spans="40:78" ht="12.75">
      <c r="AN618" s="170" t="str">
        <f t="shared" si="201"/>
        <v>Shield Charge</v>
      </c>
      <c r="AO618" s="168">
        <f t="shared" si="202"/>
        <v>0</v>
      </c>
      <c r="AP618" s="168">
        <f ca="1" t="shared" si="209"/>
        <v>0</v>
      </c>
      <c r="AQ618" s="168" t="str">
        <f t="shared" si="203"/>
        <v>S</v>
      </c>
      <c r="AR618" s="168">
        <f t="shared" si="196"/>
        <v>0</v>
      </c>
      <c r="AS618" s="215"/>
      <c r="BQ618" s="211">
        <f t="shared" si="185"/>
        <v>120</v>
      </c>
      <c r="BR618" s="249" t="str">
        <f t="shared" si="210"/>
        <v>Musical instrument, Drum</v>
      </c>
      <c r="BS618" s="168">
        <f t="shared" si="211"/>
        <v>0</v>
      </c>
      <c r="BT618" s="168">
        <f t="shared" si="212"/>
        <v>7</v>
      </c>
      <c r="BU618" s="168">
        <f t="shared" si="213"/>
        <v>5</v>
      </c>
      <c r="BV618" s="249">
        <f t="shared" si="197"/>
        <v>19</v>
      </c>
      <c r="BW618" s="249" t="str">
        <f t="shared" si="198"/>
        <v>Drum Musical instrument</v>
      </c>
      <c r="BX618" s="249">
        <f t="shared" si="188"/>
        <v>0</v>
      </c>
      <c r="BY618" s="168">
        <f t="shared" si="186"/>
        <v>0</v>
      </c>
      <c r="BZ618" s="171"/>
    </row>
    <row r="619" spans="40:78" ht="12.75">
      <c r="AN619" s="170" t="str">
        <f t="shared" si="201"/>
        <v>Silent Walk</v>
      </c>
      <c r="AO619" s="168">
        <f t="shared" si="202"/>
        <v>0</v>
      </c>
      <c r="AP619" s="168">
        <f ca="1" t="shared" si="209"/>
        <v>0</v>
      </c>
      <c r="AQ619" s="168" t="str">
        <f t="shared" si="203"/>
        <v>D</v>
      </c>
      <c r="AR619" s="168">
        <f t="shared" si="196"/>
        <v>0</v>
      </c>
      <c r="AS619" s="215"/>
      <c r="BQ619" s="211">
        <f t="shared" si="185"/>
        <v>121</v>
      </c>
      <c r="BR619" s="249" t="str">
        <f t="shared" si="210"/>
        <v>Musical instrument, Lute</v>
      </c>
      <c r="BS619" s="168">
        <f t="shared" si="211"/>
        <v>0</v>
      </c>
      <c r="BT619" s="168">
        <f t="shared" si="212"/>
        <v>25</v>
      </c>
      <c r="BU619" s="168">
        <f t="shared" si="213"/>
        <v>6</v>
      </c>
      <c r="BV619" s="249">
        <f t="shared" si="197"/>
        <v>19</v>
      </c>
      <c r="BW619" s="249" t="str">
        <f t="shared" si="198"/>
        <v>Lute Musical instrument</v>
      </c>
      <c r="BX619" s="249">
        <f t="shared" si="188"/>
        <v>0</v>
      </c>
      <c r="BY619" s="168">
        <f t="shared" si="186"/>
        <v>0</v>
      </c>
      <c r="BZ619" s="171"/>
    </row>
    <row r="620" spans="40:78" ht="12.75">
      <c r="AN620" s="170" t="str">
        <f t="shared" si="201"/>
        <v>Slough Blame</v>
      </c>
      <c r="AO620" s="168">
        <f t="shared" si="202"/>
        <v>0</v>
      </c>
      <c r="AP620" s="168">
        <f ca="1" t="shared" si="209"/>
        <v>0</v>
      </c>
      <c r="AQ620" s="168" t="str">
        <f t="shared" si="203"/>
        <v>C</v>
      </c>
      <c r="AR620" s="168">
        <f t="shared" si="196"/>
        <v>0</v>
      </c>
      <c r="AS620" s="215"/>
      <c r="BQ620" s="211">
        <f t="shared" si="185"/>
        <v>122</v>
      </c>
      <c r="BR620" s="249" t="str">
        <f t="shared" si="210"/>
        <v>Musical instrument, Horn</v>
      </c>
      <c r="BS620" s="168">
        <f t="shared" si="211"/>
        <v>0</v>
      </c>
      <c r="BT620" s="168">
        <f t="shared" si="212"/>
        <v>70</v>
      </c>
      <c r="BU620" s="168">
        <f t="shared" si="213"/>
        <v>7</v>
      </c>
      <c r="BV620" s="249">
        <f t="shared" si="197"/>
        <v>19</v>
      </c>
      <c r="BW620" s="249" t="str">
        <f t="shared" si="198"/>
        <v>Horn Musical instrument</v>
      </c>
      <c r="BX620" s="249">
        <f t="shared" si="188"/>
        <v>0</v>
      </c>
      <c r="BY620" s="168">
        <f t="shared" si="186"/>
        <v>0</v>
      </c>
      <c r="BZ620" s="171"/>
    </row>
    <row r="621" spans="35:78" ht="12.75">
      <c r="AI621"/>
      <c r="AM621" s="117"/>
      <c r="AN621" s="170" t="str">
        <f t="shared" si="201"/>
        <v>Spellcasting</v>
      </c>
      <c r="AO621" s="168">
        <f t="shared" si="202"/>
        <v>0</v>
      </c>
      <c r="AP621" s="168">
        <f ca="1" t="shared" si="209"/>
        <v>0</v>
      </c>
      <c r="AQ621" s="168" t="str">
        <f t="shared" si="203"/>
        <v>P</v>
      </c>
      <c r="AR621" s="168">
        <f t="shared" si="196"/>
        <v>0</v>
      </c>
      <c r="AS621" s="215"/>
      <c r="BQ621" s="211">
        <f t="shared" si="185"/>
        <v>123</v>
      </c>
      <c r="BR621" s="249">
        <f t="shared" si="210"/>
        <v>0</v>
      </c>
      <c r="BS621" s="168">
        <f t="shared" si="211"/>
        <v>0</v>
      </c>
      <c r="BT621" s="168">
        <f t="shared" si="212"/>
        <v>0</v>
      </c>
      <c r="BU621" s="168">
        <f t="shared" si="213"/>
        <v>0</v>
      </c>
      <c r="BV621" s="249" t="e">
        <f t="shared" si="197"/>
        <v>#VALUE!</v>
      </c>
      <c r="BW621" s="249" t="str">
        <f t="shared" si="198"/>
        <v>0</v>
      </c>
      <c r="BX621" s="249">
        <f t="shared" si="188"/>
        <v>0</v>
      </c>
      <c r="BY621" s="168">
        <f t="shared" si="186"/>
        <v>0</v>
      </c>
      <c r="BZ621" s="171"/>
    </row>
    <row r="622" spans="35:78" ht="12.75">
      <c r="AI622"/>
      <c r="AM622" s="117"/>
      <c r="AN622" s="170" t="str">
        <f t="shared" si="201"/>
        <v>Sure Mount</v>
      </c>
      <c r="AO622" s="168">
        <f t="shared" si="202"/>
        <v>0</v>
      </c>
      <c r="AP622" s="168">
        <f ca="1" t="shared" si="209"/>
        <v>0</v>
      </c>
      <c r="AQ622" s="168" t="str">
        <f t="shared" si="203"/>
        <v>S</v>
      </c>
      <c r="AR622" s="168">
        <f t="shared" si="196"/>
        <v>0</v>
      </c>
      <c r="AS622" s="215"/>
      <c r="BQ622" s="211">
        <f t="shared" si="185"/>
        <v>124</v>
      </c>
      <c r="BR622" s="249">
        <f t="shared" si="210"/>
        <v>0</v>
      </c>
      <c r="BS622" s="168">
        <f t="shared" si="211"/>
        <v>0</v>
      </c>
      <c r="BT622" s="168">
        <f t="shared" si="212"/>
        <v>0</v>
      </c>
      <c r="BU622" s="168">
        <f t="shared" si="213"/>
        <v>0</v>
      </c>
      <c r="BV622" s="249" t="e">
        <f t="shared" si="197"/>
        <v>#VALUE!</v>
      </c>
      <c r="BW622" s="249" t="str">
        <f t="shared" si="198"/>
        <v>0</v>
      </c>
      <c r="BX622" s="249">
        <f t="shared" si="188"/>
        <v>0</v>
      </c>
      <c r="BY622" s="168">
        <f t="shared" si="186"/>
        <v>0</v>
      </c>
      <c r="BZ622" s="171"/>
    </row>
    <row r="623" spans="35:78" ht="12.75">
      <c r="AI623"/>
      <c r="AM623" s="117"/>
      <c r="AN623" s="170" t="str">
        <f aca="true" t="shared" si="214" ref="AN623:AN637">T137</f>
        <v>Surprise Strike</v>
      </c>
      <c r="AO623" s="168">
        <f aca="true" t="shared" si="215" ref="AO623:AO637">W137</f>
        <v>0</v>
      </c>
      <c r="AP623" s="168">
        <f ca="1" t="shared" si="209"/>
        <v>0</v>
      </c>
      <c r="AQ623" s="168" t="str">
        <f aca="true" t="shared" si="216" ref="AQ623:AQ637">X137</f>
        <v>D</v>
      </c>
      <c r="AR623" s="168">
        <f t="shared" si="196"/>
        <v>0</v>
      </c>
      <c r="AS623" s="215"/>
      <c r="BQ623" s="211">
        <f t="shared" si="185"/>
        <v>125</v>
      </c>
      <c r="BR623" s="249">
        <f t="shared" si="210"/>
        <v>0</v>
      </c>
      <c r="BS623" s="168">
        <f t="shared" si="211"/>
        <v>0</v>
      </c>
      <c r="BT623" s="168">
        <f t="shared" si="212"/>
        <v>0</v>
      </c>
      <c r="BU623" s="168">
        <f t="shared" si="213"/>
        <v>0</v>
      </c>
      <c r="BV623" s="249" t="e">
        <f t="shared" si="197"/>
        <v>#VALUE!</v>
      </c>
      <c r="BW623" s="249" t="str">
        <f t="shared" si="198"/>
        <v>0</v>
      </c>
      <c r="BX623" s="249">
        <f t="shared" si="188"/>
        <v>0</v>
      </c>
      <c r="BY623" s="168">
        <f t="shared" si="186"/>
        <v>0</v>
      </c>
      <c r="BZ623" s="171"/>
    </row>
    <row r="624" spans="35:78" ht="12.75">
      <c r="AI624"/>
      <c r="AM624" s="117"/>
      <c r="AN624" s="170" t="str">
        <f t="shared" si="214"/>
        <v>Swift Kick</v>
      </c>
      <c r="AO624" s="168">
        <f t="shared" si="215"/>
        <v>0</v>
      </c>
      <c r="AP624" s="168">
        <f ca="1" t="shared" si="209"/>
        <v>0</v>
      </c>
      <c r="AQ624" s="168" t="str">
        <f t="shared" si="216"/>
        <v>D</v>
      </c>
      <c r="AR624" s="168">
        <f t="shared" si="196"/>
        <v>0</v>
      </c>
      <c r="AS624" s="215"/>
      <c r="BQ624" s="211">
        <f t="shared" si="185"/>
        <v>126</v>
      </c>
      <c r="BR624" s="249" t="str">
        <f aca="true" t="shared" si="217" ref="BR624:BR633">J201</f>
        <v>Trail Rations (day)</v>
      </c>
      <c r="BS624" s="168">
        <f aca="true" t="shared" si="218" ref="BS624:BS633">N201</f>
        <v>0</v>
      </c>
      <c r="BT624" s="168">
        <f aca="true" t="shared" si="219" ref="BT624:BT633">O201</f>
        <v>1</v>
      </c>
      <c r="BU624" s="168">
        <f aca="true" t="shared" si="220" ref="BU624:BU633">P201</f>
        <v>0.8</v>
      </c>
      <c r="BV624" s="249" t="e">
        <f t="shared" si="197"/>
        <v>#VALUE!</v>
      </c>
      <c r="BW624" s="249" t="str">
        <f t="shared" si="198"/>
        <v>Trail Rations (day)</v>
      </c>
      <c r="BX624" s="249">
        <f t="shared" si="188"/>
        <v>0</v>
      </c>
      <c r="BY624" s="168">
        <f t="shared" si="186"/>
        <v>0</v>
      </c>
      <c r="BZ624" s="171"/>
    </row>
    <row r="625" spans="35:78" ht="12.75">
      <c r="AI625"/>
      <c r="AM625" s="117"/>
      <c r="AN625" s="170" t="str">
        <f t="shared" si="214"/>
        <v>Tame Mount</v>
      </c>
      <c r="AO625" s="168">
        <f t="shared" si="215"/>
        <v>0</v>
      </c>
      <c r="AP625" s="168">
        <f ca="1" t="shared" si="209"/>
        <v>0</v>
      </c>
      <c r="AQ625" s="168" t="str">
        <f t="shared" si="216"/>
        <v>C</v>
      </c>
      <c r="AR625" s="168">
        <f t="shared" si="196"/>
        <v>0</v>
      </c>
      <c r="AS625" s="215"/>
      <c r="BQ625" s="211">
        <f t="shared" si="185"/>
        <v>127</v>
      </c>
      <c r="BR625" s="249" t="str">
        <f t="shared" si="217"/>
        <v>Dwarf Mine Rations (day)</v>
      </c>
      <c r="BS625" s="168">
        <f t="shared" si="218"/>
        <v>0</v>
      </c>
      <c r="BT625" s="168">
        <f t="shared" si="219"/>
        <v>2.5</v>
      </c>
      <c r="BU625" s="168">
        <f t="shared" si="220"/>
        <v>0.6</v>
      </c>
      <c r="BV625" s="249" t="e">
        <f t="shared" si="197"/>
        <v>#VALUE!</v>
      </c>
      <c r="BW625" s="249" t="str">
        <f t="shared" si="198"/>
        <v>Dwarf Mine Rations (day)</v>
      </c>
      <c r="BX625" s="249">
        <f t="shared" si="188"/>
        <v>0</v>
      </c>
      <c r="BY625" s="168">
        <f t="shared" si="186"/>
        <v>0</v>
      </c>
      <c r="BZ625" s="171"/>
    </row>
    <row r="626" spans="35:78" ht="12.75">
      <c r="AI626"/>
      <c r="AM626" s="117"/>
      <c r="AN626" s="170" t="str">
        <f t="shared" si="214"/>
        <v>Taunt</v>
      </c>
      <c r="AO626" s="168">
        <f t="shared" si="215"/>
        <v>0</v>
      </c>
      <c r="AP626" s="168">
        <f ca="1" t="shared" si="209"/>
        <v>0</v>
      </c>
      <c r="AQ626" s="168" t="str">
        <f t="shared" si="216"/>
        <v>C</v>
      </c>
      <c r="AR626" s="168">
        <f t="shared" si="196"/>
        <v>0</v>
      </c>
      <c r="AS626" s="215"/>
      <c r="BQ626" s="211">
        <f t="shared" si="185"/>
        <v>128</v>
      </c>
      <c r="BR626" s="249" t="str">
        <f t="shared" si="217"/>
        <v>Bottle of Wine</v>
      </c>
      <c r="BS626" s="168">
        <f t="shared" si="218"/>
        <v>0</v>
      </c>
      <c r="BT626" s="168">
        <f t="shared" si="219"/>
        <v>0.5</v>
      </c>
      <c r="BU626" s="168">
        <f t="shared" si="220"/>
        <v>2</v>
      </c>
      <c r="BV626" s="249" t="e">
        <f t="shared" si="197"/>
        <v>#VALUE!</v>
      </c>
      <c r="BW626" s="249" t="str">
        <f t="shared" si="198"/>
        <v>Bottle of Wine</v>
      </c>
      <c r="BX626" s="249">
        <f t="shared" si="188"/>
        <v>0</v>
      </c>
      <c r="BY626" s="168">
        <f t="shared" si="186"/>
        <v>0</v>
      </c>
      <c r="BZ626" s="171"/>
    </row>
    <row r="627" spans="35:78" ht="12.75">
      <c r="AI627"/>
      <c r="AM627" s="117"/>
      <c r="AN627" s="170" t="str">
        <f t="shared" si="214"/>
        <v>Throwing Weapons</v>
      </c>
      <c r="AO627" s="168">
        <f t="shared" si="215"/>
        <v>0</v>
      </c>
      <c r="AP627" s="168">
        <f ca="1" t="shared" si="209"/>
        <v>0</v>
      </c>
      <c r="AQ627" s="168" t="str">
        <f t="shared" si="216"/>
        <v>D</v>
      </c>
      <c r="AR627" s="168">
        <f t="shared" si="196"/>
        <v>0</v>
      </c>
      <c r="AS627" s="215"/>
      <c r="BQ627" s="211">
        <f t="shared" si="185"/>
        <v>129</v>
      </c>
      <c r="BR627" s="249" t="str">
        <f t="shared" si="217"/>
        <v>Bottle of Fine Wine</v>
      </c>
      <c r="BS627" s="168">
        <f t="shared" si="218"/>
        <v>0</v>
      </c>
      <c r="BT627" s="168">
        <f t="shared" si="219"/>
        <v>5</v>
      </c>
      <c r="BU627" s="168">
        <f t="shared" si="220"/>
        <v>2</v>
      </c>
      <c r="BV627" s="249" t="e">
        <f t="shared" si="197"/>
        <v>#VALUE!</v>
      </c>
      <c r="BW627" s="249" t="str">
        <f t="shared" si="198"/>
        <v>Bottle of Fine Wine</v>
      </c>
      <c r="BX627" s="249">
        <f t="shared" si="188"/>
        <v>0</v>
      </c>
      <c r="BY627" s="168">
        <f t="shared" si="186"/>
        <v>0</v>
      </c>
      <c r="BZ627" s="171"/>
    </row>
    <row r="628" spans="35:78" ht="12.75">
      <c r="AI628"/>
      <c r="AM628" s="117"/>
      <c r="AN628" s="170" t="str">
        <f t="shared" si="214"/>
        <v>Trample</v>
      </c>
      <c r="AO628" s="168">
        <f t="shared" si="215"/>
        <v>0</v>
      </c>
      <c r="AP628" s="168">
        <f ca="1" t="shared" si="209"/>
        <v>0</v>
      </c>
      <c r="AQ628" s="168" t="str">
        <f t="shared" si="216"/>
        <v>W+10</v>
      </c>
      <c r="AR628" s="168">
        <f t="shared" si="196"/>
        <v>0</v>
      </c>
      <c r="AS628" s="215"/>
      <c r="BQ628" s="211">
        <f t="shared" si="185"/>
        <v>130</v>
      </c>
      <c r="BR628" s="249" t="str">
        <f t="shared" si="217"/>
        <v>Waterskin</v>
      </c>
      <c r="BS628" s="168">
        <f t="shared" si="218"/>
        <v>0</v>
      </c>
      <c r="BT628" s="168">
        <f t="shared" si="219"/>
        <v>2</v>
      </c>
      <c r="BU628" s="168">
        <f t="shared" si="220"/>
        <v>2</v>
      </c>
      <c r="BV628" s="249" t="e">
        <f t="shared" si="197"/>
        <v>#VALUE!</v>
      </c>
      <c r="BW628" s="249" t="str">
        <f t="shared" si="198"/>
        <v>Waterskin</v>
      </c>
      <c r="BX628" s="249">
        <f t="shared" si="188"/>
        <v>0</v>
      </c>
      <c r="BY628" s="168">
        <f t="shared" si="186"/>
        <v>0</v>
      </c>
      <c r="BZ628" s="171"/>
    </row>
    <row r="629" spans="35:78" ht="12.75">
      <c r="AI629"/>
      <c r="AM629" s="117"/>
      <c r="AN629" s="170" t="str">
        <f t="shared" si="214"/>
        <v>Trap Initiative</v>
      </c>
      <c r="AO629" s="168">
        <f t="shared" si="215"/>
        <v>0</v>
      </c>
      <c r="AP629" s="168">
        <f ca="1" t="shared" si="209"/>
        <v>0</v>
      </c>
      <c r="AQ629" s="168" t="str">
        <f t="shared" si="216"/>
        <v>D</v>
      </c>
      <c r="AR629" s="168">
        <f t="shared" si="196"/>
        <v>0</v>
      </c>
      <c r="AS629" s="215"/>
      <c r="BQ629" s="211">
        <f aca="true" t="shared" si="221" ref="BQ629:BQ680">BQ628+1</f>
        <v>131</v>
      </c>
      <c r="BR629" s="249" t="str">
        <f t="shared" si="217"/>
        <v>Wineskin</v>
      </c>
      <c r="BS629" s="168">
        <f t="shared" si="218"/>
        <v>0</v>
      </c>
      <c r="BT629" s="168">
        <f t="shared" si="219"/>
        <v>2</v>
      </c>
      <c r="BU629" s="168">
        <f t="shared" si="220"/>
        <v>2</v>
      </c>
      <c r="BV629" s="249" t="e">
        <f t="shared" si="197"/>
        <v>#VALUE!</v>
      </c>
      <c r="BW629" s="249" t="str">
        <f t="shared" si="198"/>
        <v>Wineskin</v>
      </c>
      <c r="BX629" s="249">
        <f t="shared" si="188"/>
        <v>0</v>
      </c>
      <c r="BY629" s="168">
        <f aca="true" t="shared" si="222" ref="BY629:BY680">BY628+IF(AND(BR629&lt;&gt;0,BS629&lt;&gt;0),1,0)</f>
        <v>0</v>
      </c>
      <c r="BZ629" s="171"/>
    </row>
    <row r="630" spans="35:78" ht="12.75">
      <c r="AI630"/>
      <c r="AM630" s="117"/>
      <c r="AN630" s="170" t="str">
        <f t="shared" si="214"/>
        <v>Trick Riding</v>
      </c>
      <c r="AO630" s="168">
        <f t="shared" si="215"/>
        <v>0</v>
      </c>
      <c r="AP630" s="168">
        <f ca="1" t="shared" si="209"/>
        <v>0</v>
      </c>
      <c r="AQ630" s="168" t="str">
        <f t="shared" si="216"/>
        <v>W</v>
      </c>
      <c r="AR630" s="168">
        <f t="shared" si="196"/>
        <v>0</v>
      </c>
      <c r="AS630" s="215"/>
      <c r="BQ630" s="211">
        <f t="shared" si="221"/>
        <v>132</v>
      </c>
      <c r="BR630" s="249">
        <f t="shared" si="217"/>
        <v>0</v>
      </c>
      <c r="BS630" s="168">
        <f t="shared" si="218"/>
        <v>0</v>
      </c>
      <c r="BT630" s="168">
        <f t="shared" si="219"/>
        <v>0</v>
      </c>
      <c r="BU630" s="168">
        <f t="shared" si="220"/>
        <v>0</v>
      </c>
      <c r="BV630" s="249" t="e">
        <f t="shared" si="197"/>
        <v>#VALUE!</v>
      </c>
      <c r="BW630" s="249" t="str">
        <f t="shared" si="198"/>
        <v>0</v>
      </c>
      <c r="BX630" s="249">
        <f t="shared" si="188"/>
        <v>0</v>
      </c>
      <c r="BY630" s="168">
        <f t="shared" si="222"/>
        <v>0</v>
      </c>
      <c r="BZ630" s="171"/>
    </row>
    <row r="631" spans="35:78" ht="12.75">
      <c r="AI631"/>
      <c r="AM631" s="117"/>
      <c r="AN631" s="170" t="str">
        <f t="shared" si="214"/>
        <v>Unarmed Combat</v>
      </c>
      <c r="AO631" s="168">
        <f t="shared" si="215"/>
        <v>0</v>
      </c>
      <c r="AP631" s="168">
        <f ca="1" t="shared" si="209"/>
        <v>0</v>
      </c>
      <c r="AQ631" s="168" t="str">
        <f t="shared" si="216"/>
        <v>D</v>
      </c>
      <c r="AR631" s="168">
        <f t="shared" si="196"/>
        <v>0</v>
      </c>
      <c r="AS631" s="215"/>
      <c r="BQ631" s="211">
        <f t="shared" si="221"/>
        <v>133</v>
      </c>
      <c r="BR631" s="249">
        <f t="shared" si="217"/>
        <v>0</v>
      </c>
      <c r="BS631" s="168">
        <f t="shared" si="218"/>
        <v>0</v>
      </c>
      <c r="BT631" s="168">
        <f t="shared" si="219"/>
        <v>0</v>
      </c>
      <c r="BU631" s="168">
        <f t="shared" si="220"/>
        <v>0</v>
      </c>
      <c r="BV631" s="249" t="e">
        <f t="shared" si="197"/>
        <v>#VALUE!</v>
      </c>
      <c r="BW631" s="249" t="str">
        <f t="shared" si="198"/>
        <v>0</v>
      </c>
      <c r="BX631" s="249">
        <f t="shared" si="188"/>
        <v>0</v>
      </c>
      <c r="BY631" s="168">
        <f t="shared" si="222"/>
        <v>0</v>
      </c>
      <c r="BZ631" s="171"/>
    </row>
    <row r="632" spans="35:78" ht="12.75">
      <c r="AI632"/>
      <c r="AM632" s="117"/>
      <c r="AN632" s="170" t="str">
        <f t="shared" si="214"/>
        <v>Unmount</v>
      </c>
      <c r="AO632" s="168">
        <f t="shared" si="215"/>
        <v>0</v>
      </c>
      <c r="AP632" s="168">
        <f ca="1" t="shared" si="209"/>
        <v>0</v>
      </c>
      <c r="AQ632" s="168" t="str">
        <f t="shared" si="216"/>
        <v>S</v>
      </c>
      <c r="AR632" s="168">
        <f t="shared" si="196"/>
        <v>0</v>
      </c>
      <c r="AS632" s="215"/>
      <c r="BQ632" s="211">
        <f t="shared" si="221"/>
        <v>134</v>
      </c>
      <c r="BR632" s="249">
        <f t="shared" si="217"/>
        <v>0</v>
      </c>
      <c r="BS632" s="168">
        <f t="shared" si="218"/>
        <v>0</v>
      </c>
      <c r="BT632" s="168">
        <f t="shared" si="219"/>
        <v>0</v>
      </c>
      <c r="BU632" s="168">
        <f t="shared" si="220"/>
        <v>0</v>
      </c>
      <c r="BV632" s="249" t="e">
        <f t="shared" si="197"/>
        <v>#VALUE!</v>
      </c>
      <c r="BW632" s="249" t="str">
        <f t="shared" si="198"/>
        <v>0</v>
      </c>
      <c r="BX632" s="249">
        <f aca="true" t="shared" si="223" ref="BX632:BX680">IF(BU632=" "," ",IF(ISERROR(VALUE(BS632)),BU632,BS632*BU632))</f>
        <v>0</v>
      </c>
      <c r="BY632" s="168">
        <f t="shared" si="222"/>
        <v>0</v>
      </c>
      <c r="BZ632" s="171"/>
    </row>
    <row r="633" spans="35:78" ht="12.75">
      <c r="AI633"/>
      <c r="AM633" s="117"/>
      <c r="AN633" s="170" t="str">
        <f t="shared" si="214"/>
        <v>Weapon Breaker</v>
      </c>
      <c r="AO633" s="168">
        <f t="shared" si="215"/>
        <v>0</v>
      </c>
      <c r="AP633" s="168">
        <f ca="1" t="shared" si="209"/>
        <v>0</v>
      </c>
      <c r="AQ633" s="168" t="str">
        <f t="shared" si="216"/>
        <v>W+10</v>
      </c>
      <c r="AR633" s="168">
        <f t="shared" si="196"/>
        <v>0</v>
      </c>
      <c r="AS633" s="215"/>
      <c r="BQ633" s="211">
        <f t="shared" si="221"/>
        <v>135</v>
      </c>
      <c r="BR633" s="249">
        <f t="shared" si="217"/>
        <v>0</v>
      </c>
      <c r="BS633" s="168">
        <f t="shared" si="218"/>
        <v>0</v>
      </c>
      <c r="BT633" s="168">
        <f t="shared" si="219"/>
        <v>0</v>
      </c>
      <c r="BU633" s="168">
        <f t="shared" si="220"/>
        <v>0</v>
      </c>
      <c r="BV633" s="249" t="e">
        <f t="shared" si="197"/>
        <v>#VALUE!</v>
      </c>
      <c r="BW633" s="249" t="str">
        <f t="shared" si="198"/>
        <v>0</v>
      </c>
      <c r="BX633" s="249">
        <f t="shared" si="223"/>
        <v>0</v>
      </c>
      <c r="BY633" s="168">
        <f t="shared" si="222"/>
        <v>0</v>
      </c>
      <c r="BZ633" s="171"/>
    </row>
    <row r="634" spans="35:78" ht="12.75">
      <c r="AI634"/>
      <c r="AM634" s="117"/>
      <c r="AN634" s="170" t="str">
        <f t="shared" si="214"/>
        <v>Wheeling Attack</v>
      </c>
      <c r="AO634" s="168">
        <f t="shared" si="215"/>
        <v>0</v>
      </c>
      <c r="AP634" s="168">
        <f ca="1" t="shared" si="209"/>
        <v>0</v>
      </c>
      <c r="AQ634" s="168" t="str">
        <f t="shared" si="216"/>
        <v>D</v>
      </c>
      <c r="AR634" s="168">
        <f t="shared" si="196"/>
        <v>0</v>
      </c>
      <c r="AS634" s="215"/>
      <c r="BQ634" s="211">
        <f t="shared" si="221"/>
        <v>136</v>
      </c>
      <c r="BR634" s="249" t="str">
        <f aca="true" t="shared" si="224" ref="BR634:BR646">J214</f>
        <v>Booster Potion</v>
      </c>
      <c r="BS634" s="168">
        <f aca="true" t="shared" si="225" ref="BS634:BS646">N214</f>
        <v>0</v>
      </c>
      <c r="BT634" s="168">
        <f aca="true" t="shared" si="226" ref="BT634:BT646">O214</f>
        <v>50</v>
      </c>
      <c r="BU634" s="168">
        <f aca="true" t="shared" si="227" ref="BU634:BU646">P214</f>
        <v>2</v>
      </c>
      <c r="BV634" s="249" t="e">
        <f t="shared" si="197"/>
        <v>#VALUE!</v>
      </c>
      <c r="BW634" s="249" t="str">
        <f t="shared" si="198"/>
        <v>Booster Potion</v>
      </c>
      <c r="BX634" s="249">
        <f t="shared" si="223"/>
        <v>0</v>
      </c>
      <c r="BY634" s="168">
        <f t="shared" si="222"/>
        <v>0</v>
      </c>
      <c r="BZ634" s="171"/>
    </row>
    <row r="635" spans="35:78" ht="12.75">
      <c r="AI635"/>
      <c r="AM635" s="117"/>
      <c r="AN635" s="170" t="str">
        <f t="shared" si="214"/>
        <v>Wheeling Defense</v>
      </c>
      <c r="AO635" s="168">
        <f t="shared" si="215"/>
        <v>0</v>
      </c>
      <c r="AP635" s="168">
        <f ca="1" t="shared" si="209"/>
        <v>0</v>
      </c>
      <c r="AQ635" s="168" t="str">
        <f t="shared" si="216"/>
        <v>D</v>
      </c>
      <c r="AR635" s="168">
        <f t="shared" si="196"/>
        <v>0</v>
      </c>
      <c r="AS635" s="215"/>
      <c r="BQ635" s="211">
        <f t="shared" si="221"/>
        <v>137</v>
      </c>
      <c r="BR635" s="249" t="str">
        <f t="shared" si="224"/>
        <v>Confidense Pooster</v>
      </c>
      <c r="BS635" s="168">
        <f t="shared" si="225"/>
        <v>0</v>
      </c>
      <c r="BT635" s="168">
        <f t="shared" si="226"/>
        <v>150</v>
      </c>
      <c r="BU635" s="168">
        <f t="shared" si="227"/>
        <v>2</v>
      </c>
      <c r="BV635" s="249" t="e">
        <f t="shared" si="197"/>
        <v>#VALUE!</v>
      </c>
      <c r="BW635" s="249" t="str">
        <f t="shared" si="198"/>
        <v>Confidense Pooster</v>
      </c>
      <c r="BX635" s="249">
        <f t="shared" si="223"/>
        <v>0</v>
      </c>
      <c r="BY635" s="168">
        <f t="shared" si="222"/>
        <v>0</v>
      </c>
      <c r="BZ635" s="171"/>
    </row>
    <row r="636" spans="35:78" ht="12.75">
      <c r="AI636"/>
      <c r="AM636" s="117"/>
      <c r="AN636" s="170" t="str">
        <f t="shared" si="214"/>
        <v>Wind Dance</v>
      </c>
      <c r="AO636" s="168">
        <f t="shared" si="215"/>
        <v>0</v>
      </c>
      <c r="AP636" s="168">
        <f ca="1" t="shared" si="209"/>
        <v>0</v>
      </c>
      <c r="AQ636" s="168" t="str">
        <f t="shared" si="216"/>
        <v>D</v>
      </c>
      <c r="AR636" s="168">
        <f t="shared" si="196"/>
        <v>0</v>
      </c>
      <c r="AS636" s="215"/>
      <c r="BQ636" s="211">
        <f t="shared" si="221"/>
        <v>138</v>
      </c>
      <c r="BR636" s="249" t="str">
        <f t="shared" si="224"/>
        <v>Cure Disease Potion</v>
      </c>
      <c r="BS636" s="168">
        <f t="shared" si="225"/>
        <v>0</v>
      </c>
      <c r="BT636" s="168">
        <f t="shared" si="226"/>
        <v>500</v>
      </c>
      <c r="BU636" s="168">
        <f t="shared" si="227"/>
        <v>2</v>
      </c>
      <c r="BV636" s="249" t="e">
        <f t="shared" si="197"/>
        <v>#VALUE!</v>
      </c>
      <c r="BW636" s="249" t="str">
        <f t="shared" si="198"/>
        <v>Cure Disease Potion</v>
      </c>
      <c r="BX636" s="249">
        <f t="shared" si="223"/>
        <v>0</v>
      </c>
      <c r="BY636" s="168">
        <f t="shared" si="222"/>
        <v>0</v>
      </c>
      <c r="BZ636" s="171"/>
    </row>
    <row r="637" spans="35:78" ht="12.75">
      <c r="AI637"/>
      <c r="AM637" s="117"/>
      <c r="AN637" s="209" t="str">
        <f t="shared" si="214"/>
        <v>Wound Balance</v>
      </c>
      <c r="AO637" s="131">
        <f t="shared" si="215"/>
        <v>0</v>
      </c>
      <c r="AP637" s="131">
        <f ca="1" t="shared" si="209"/>
        <v>0</v>
      </c>
      <c r="AQ637" s="131" t="str">
        <f t="shared" si="216"/>
        <v>S</v>
      </c>
      <c r="AR637" s="131">
        <f t="shared" si="196"/>
        <v>0</v>
      </c>
      <c r="AS637" s="132"/>
      <c r="BQ637" s="211">
        <f t="shared" si="221"/>
        <v>139</v>
      </c>
      <c r="BR637" s="249" t="str">
        <f t="shared" si="224"/>
        <v>Healing Potion</v>
      </c>
      <c r="BS637" s="168">
        <f t="shared" si="225"/>
        <v>0</v>
      </c>
      <c r="BT637" s="168">
        <f t="shared" si="226"/>
        <v>300</v>
      </c>
      <c r="BU637" s="168">
        <f t="shared" si="227"/>
        <v>2</v>
      </c>
      <c r="BV637" s="249" t="e">
        <f t="shared" si="197"/>
        <v>#VALUE!</v>
      </c>
      <c r="BW637" s="249" t="str">
        <f t="shared" si="198"/>
        <v>Healing Potion</v>
      </c>
      <c r="BX637" s="249">
        <f t="shared" si="223"/>
        <v>0</v>
      </c>
      <c r="BY637" s="168">
        <f t="shared" si="222"/>
        <v>0</v>
      </c>
      <c r="BZ637" s="171"/>
    </row>
    <row r="638" spans="35:78" ht="12.75">
      <c r="AI638"/>
      <c r="AM638" s="117"/>
      <c r="BQ638" s="211">
        <f t="shared" si="221"/>
        <v>140</v>
      </c>
      <c r="BR638" s="249" t="str">
        <f t="shared" si="224"/>
        <v>Kelia's Antidote</v>
      </c>
      <c r="BS638" s="168">
        <f t="shared" si="225"/>
        <v>0</v>
      </c>
      <c r="BT638" s="168">
        <f t="shared" si="226"/>
        <v>125</v>
      </c>
      <c r="BU638" s="168">
        <f t="shared" si="227"/>
        <v>2</v>
      </c>
      <c r="BV638" s="249" t="e">
        <f t="shared" si="197"/>
        <v>#VALUE!</v>
      </c>
      <c r="BW638" s="249" t="str">
        <f t="shared" si="198"/>
        <v>Kelia's Antidote</v>
      </c>
      <c r="BX638" s="249">
        <f t="shared" si="223"/>
        <v>0</v>
      </c>
      <c r="BY638" s="168">
        <f t="shared" si="222"/>
        <v>0</v>
      </c>
      <c r="BZ638" s="171"/>
    </row>
    <row r="639" spans="35:78" ht="12.75">
      <c r="AI639"/>
      <c r="AM639" s="117"/>
      <c r="BQ639" s="211">
        <f t="shared" si="221"/>
        <v>141</v>
      </c>
      <c r="BR639" s="249" t="str">
        <f t="shared" si="224"/>
        <v>Kelix's Poultice</v>
      </c>
      <c r="BS639" s="168">
        <f t="shared" si="225"/>
        <v>0</v>
      </c>
      <c r="BT639" s="168">
        <f t="shared" si="226"/>
        <v>50</v>
      </c>
      <c r="BU639" s="168">
        <f t="shared" si="227"/>
        <v>1</v>
      </c>
      <c r="BV639" s="249" t="e">
        <f t="shared" si="197"/>
        <v>#VALUE!</v>
      </c>
      <c r="BW639" s="249" t="str">
        <f t="shared" si="198"/>
        <v>Kelix's Poultice</v>
      </c>
      <c r="BX639" s="249">
        <f t="shared" si="223"/>
        <v>0</v>
      </c>
      <c r="BY639" s="168">
        <f t="shared" si="222"/>
        <v>0</v>
      </c>
      <c r="BZ639" s="171"/>
    </row>
    <row r="640" spans="35:78" ht="12.75">
      <c r="AI640"/>
      <c r="AM640" s="117"/>
      <c r="BQ640" s="211">
        <f t="shared" si="221"/>
        <v>142</v>
      </c>
      <c r="BR640" s="249" t="str">
        <f t="shared" si="224"/>
        <v>Last Chance Potion</v>
      </c>
      <c r="BS640" s="168">
        <f t="shared" si="225"/>
        <v>0</v>
      </c>
      <c r="BT640" s="168">
        <f t="shared" si="226"/>
        <v>600</v>
      </c>
      <c r="BU640" s="168">
        <f t="shared" si="227"/>
        <v>1</v>
      </c>
      <c r="BV640" s="249" t="e">
        <f t="shared" si="197"/>
        <v>#VALUE!</v>
      </c>
      <c r="BW640" s="249" t="str">
        <f t="shared" si="198"/>
        <v>Last Chance Potion</v>
      </c>
      <c r="BX640" s="249">
        <f t="shared" si="223"/>
        <v>0</v>
      </c>
      <c r="BY640" s="168">
        <f t="shared" si="222"/>
        <v>0</v>
      </c>
      <c r="BZ640" s="171"/>
    </row>
    <row r="641" spans="35:78" ht="12.75">
      <c r="AI641"/>
      <c r="AM641" s="117"/>
      <c r="BQ641" s="211">
        <f t="shared" si="221"/>
        <v>143</v>
      </c>
      <c r="BR641" s="249" t="str">
        <f t="shared" si="224"/>
        <v>Resist Disease Potion</v>
      </c>
      <c r="BS641" s="168">
        <f t="shared" si="225"/>
        <v>0</v>
      </c>
      <c r="BT641" s="168">
        <f t="shared" si="226"/>
        <v>75</v>
      </c>
      <c r="BU641" s="168">
        <f t="shared" si="227"/>
        <v>2</v>
      </c>
      <c r="BV641" s="249" t="e">
        <f t="shared" si="197"/>
        <v>#VALUE!</v>
      </c>
      <c r="BW641" s="249" t="str">
        <f t="shared" si="198"/>
        <v>Resist Disease Potion</v>
      </c>
      <c r="BX641" s="249">
        <f t="shared" si="223"/>
        <v>0</v>
      </c>
      <c r="BY641" s="168">
        <f t="shared" si="222"/>
        <v>0</v>
      </c>
      <c r="BZ641" s="171"/>
    </row>
    <row r="642" spans="35:78" ht="12.75">
      <c r="AI642"/>
      <c r="AM642" s="117"/>
      <c r="BQ642" s="211">
        <f t="shared" si="221"/>
        <v>144</v>
      </c>
      <c r="BR642" s="249" t="str">
        <f t="shared" si="224"/>
        <v>Resist Poison Potion</v>
      </c>
      <c r="BS642" s="168">
        <f t="shared" si="225"/>
        <v>0</v>
      </c>
      <c r="BT642" s="168">
        <f t="shared" si="226"/>
        <v>75</v>
      </c>
      <c r="BU642" s="168">
        <f t="shared" si="227"/>
        <v>2</v>
      </c>
      <c r="BV642" s="249" t="e">
        <f t="shared" si="197"/>
        <v>#VALUE!</v>
      </c>
      <c r="BW642" s="249" t="str">
        <f t="shared" si="198"/>
        <v>Resist Poison Potion</v>
      </c>
      <c r="BX642" s="249">
        <f t="shared" si="223"/>
        <v>0</v>
      </c>
      <c r="BY642" s="168">
        <f t="shared" si="222"/>
        <v>0</v>
      </c>
      <c r="BZ642" s="171"/>
    </row>
    <row r="643" spans="35:78" ht="12.75">
      <c r="AI643"/>
      <c r="AM643" s="117"/>
      <c r="BQ643" s="211">
        <f t="shared" si="221"/>
        <v>145</v>
      </c>
      <c r="BR643" s="249" t="str">
        <f t="shared" si="224"/>
        <v>Salve of Closure</v>
      </c>
      <c r="BS643" s="168">
        <f t="shared" si="225"/>
        <v>0</v>
      </c>
      <c r="BT643" s="168">
        <f t="shared" si="226"/>
        <v>200</v>
      </c>
      <c r="BU643" s="168">
        <f t="shared" si="227"/>
        <v>1</v>
      </c>
      <c r="BV643" s="249" t="e">
        <f t="shared" si="197"/>
        <v>#VALUE!</v>
      </c>
      <c r="BW643" s="249" t="str">
        <f t="shared" si="198"/>
        <v>Salve of Closure</v>
      </c>
      <c r="BX643" s="249">
        <f t="shared" si="223"/>
        <v>0</v>
      </c>
      <c r="BY643" s="168">
        <f t="shared" si="222"/>
        <v>0</v>
      </c>
      <c r="BZ643" s="171"/>
    </row>
    <row r="644" spans="35:78" ht="12.75">
      <c r="AI644"/>
      <c r="AM644" s="117"/>
      <c r="BQ644" s="211">
        <f t="shared" si="221"/>
        <v>146</v>
      </c>
      <c r="BR644" s="249">
        <f t="shared" si="224"/>
        <v>0</v>
      </c>
      <c r="BS644" s="168">
        <f t="shared" si="225"/>
        <v>0</v>
      </c>
      <c r="BT644" s="168">
        <f t="shared" si="226"/>
        <v>0</v>
      </c>
      <c r="BU644" s="168">
        <f t="shared" si="227"/>
        <v>0</v>
      </c>
      <c r="BV644" s="249" t="e">
        <f t="shared" si="197"/>
        <v>#VALUE!</v>
      </c>
      <c r="BW644" s="249" t="str">
        <f t="shared" si="198"/>
        <v>0</v>
      </c>
      <c r="BX644" s="249">
        <f t="shared" si="223"/>
        <v>0</v>
      </c>
      <c r="BY644" s="168">
        <f t="shared" si="222"/>
        <v>0</v>
      </c>
      <c r="BZ644" s="171"/>
    </row>
    <row r="645" spans="35:78" ht="12.75">
      <c r="AI645"/>
      <c r="AM645" s="117"/>
      <c r="BQ645" s="211">
        <f t="shared" si="221"/>
        <v>147</v>
      </c>
      <c r="BR645" s="249">
        <f t="shared" si="224"/>
        <v>0</v>
      </c>
      <c r="BS645" s="168">
        <f t="shared" si="225"/>
        <v>0</v>
      </c>
      <c r="BT645" s="168">
        <f t="shared" si="226"/>
        <v>0</v>
      </c>
      <c r="BU645" s="168">
        <f t="shared" si="227"/>
        <v>0</v>
      </c>
      <c r="BV645" s="249" t="e">
        <f t="shared" si="197"/>
        <v>#VALUE!</v>
      </c>
      <c r="BW645" s="249" t="str">
        <f t="shared" si="198"/>
        <v>0</v>
      </c>
      <c r="BX645" s="249">
        <f t="shared" si="223"/>
        <v>0</v>
      </c>
      <c r="BY645" s="168">
        <f t="shared" si="222"/>
        <v>0</v>
      </c>
      <c r="BZ645" s="171"/>
    </row>
    <row r="646" spans="35:78" ht="12.75">
      <c r="AI646"/>
      <c r="AM646" s="117"/>
      <c r="BQ646" s="211">
        <f t="shared" si="221"/>
        <v>148</v>
      </c>
      <c r="BR646" s="249">
        <f t="shared" si="224"/>
        <v>0</v>
      </c>
      <c r="BS646" s="168">
        <f t="shared" si="225"/>
        <v>0</v>
      </c>
      <c r="BT646" s="168">
        <f t="shared" si="226"/>
        <v>0</v>
      </c>
      <c r="BU646" s="168">
        <f t="shared" si="227"/>
        <v>0</v>
      </c>
      <c r="BV646" s="249" t="e">
        <f t="shared" si="197"/>
        <v>#VALUE!</v>
      </c>
      <c r="BW646" s="249" t="str">
        <f t="shared" si="198"/>
        <v>0</v>
      </c>
      <c r="BX646" s="249">
        <f t="shared" si="223"/>
        <v>0</v>
      </c>
      <c r="BY646" s="168">
        <f t="shared" si="222"/>
        <v>0</v>
      </c>
      <c r="BZ646" s="171"/>
    </row>
    <row r="647" spans="35:78" ht="12.75">
      <c r="AI647"/>
      <c r="AM647" s="117"/>
      <c r="BQ647" s="211">
        <f t="shared" si="221"/>
        <v>149</v>
      </c>
      <c r="BR647" s="249" t="str">
        <f aca="true" t="shared" si="228" ref="BR647:BR680">R216</f>
        <v>Bedroll of Comfort</v>
      </c>
      <c r="BS647" s="168">
        <f aca="true" t="shared" si="229" ref="BS647:BS680">V216</f>
        <v>0</v>
      </c>
      <c r="BT647" s="168">
        <f aca="true" t="shared" si="230" ref="BT647:BT680">W216</f>
        <v>340</v>
      </c>
      <c r="BU647" s="168">
        <f aca="true" t="shared" si="231" ref="BU647:BU680">X216</f>
        <v>2</v>
      </c>
      <c r="BV647" s="249" t="e">
        <f aca="true" t="shared" si="232" ref="BV647:BV680">FIND(",",BR647)</f>
        <v>#VALUE!</v>
      </c>
      <c r="BW647" s="249" t="str">
        <f aca="true" t="shared" si="233" ref="BW647:BW680">IF(ISERROR(BV647),BR647,MID(BR647,BV647+2,20)&amp;" "&amp;LEFT(BR647,BV647-1))&amp;IF(ISERROR(VALUE(BS647)),"",IF(BS647&gt;1," ("&amp;BS647&amp;")",""))</f>
        <v>Bedroll of Comfort</v>
      </c>
      <c r="BX647" s="249">
        <f t="shared" si="223"/>
        <v>0</v>
      </c>
      <c r="BY647" s="168">
        <f t="shared" si="222"/>
        <v>0</v>
      </c>
      <c r="BZ647" s="171"/>
    </row>
    <row r="648" spans="35:78" ht="12.75">
      <c r="AI648"/>
      <c r="AM648" s="117"/>
      <c r="BQ648" s="211">
        <f t="shared" si="221"/>
        <v>150</v>
      </c>
      <c r="BR648" s="249" t="str">
        <f t="shared" si="228"/>
        <v>Boots, Dry</v>
      </c>
      <c r="BS648" s="168">
        <f t="shared" si="229"/>
        <v>0</v>
      </c>
      <c r="BT648" s="168">
        <f t="shared" si="230"/>
        <v>250</v>
      </c>
      <c r="BU648" s="168">
        <f t="shared" si="231"/>
        <v>2</v>
      </c>
      <c r="BV648" s="249">
        <f t="shared" si="232"/>
        <v>6</v>
      </c>
      <c r="BW648" s="249" t="str">
        <f t="shared" si="233"/>
        <v>Dry Boots</v>
      </c>
      <c r="BX648" s="249">
        <f t="shared" si="223"/>
        <v>0</v>
      </c>
      <c r="BY648" s="168">
        <f t="shared" si="222"/>
        <v>0</v>
      </c>
      <c r="BZ648" s="171"/>
    </row>
    <row r="649" spans="35:78" ht="12.75">
      <c r="AI649"/>
      <c r="AM649" s="117"/>
      <c r="BQ649" s="211">
        <f t="shared" si="221"/>
        <v>151</v>
      </c>
      <c r="BR649" s="249" t="str">
        <f t="shared" si="228"/>
        <v>Cleaning Broom</v>
      </c>
      <c r="BS649" s="168">
        <f t="shared" si="229"/>
        <v>0</v>
      </c>
      <c r="BT649" s="168">
        <f t="shared" si="230"/>
        <v>25</v>
      </c>
      <c r="BU649" s="168">
        <f t="shared" si="231"/>
        <v>2</v>
      </c>
      <c r="BV649" s="249" t="e">
        <f t="shared" si="232"/>
        <v>#VALUE!</v>
      </c>
      <c r="BW649" s="249" t="str">
        <f t="shared" si="233"/>
        <v>Cleaning Broom</v>
      </c>
      <c r="BX649" s="249">
        <f t="shared" si="223"/>
        <v>0</v>
      </c>
      <c r="BY649" s="168">
        <f t="shared" si="222"/>
        <v>0</v>
      </c>
      <c r="BZ649" s="171"/>
    </row>
    <row r="650" spans="35:78" ht="12.75">
      <c r="AI650"/>
      <c r="AM650" s="117"/>
      <c r="BQ650" s="211">
        <f t="shared" si="221"/>
        <v>152</v>
      </c>
      <c r="BR650" s="249" t="str">
        <f t="shared" si="228"/>
        <v>Cloak, Everclean</v>
      </c>
      <c r="BS650" s="168">
        <f t="shared" si="229"/>
        <v>0</v>
      </c>
      <c r="BT650" s="168">
        <f t="shared" si="230"/>
        <v>275</v>
      </c>
      <c r="BU650" s="168">
        <f t="shared" si="231"/>
        <v>1</v>
      </c>
      <c r="BV650" s="249">
        <f t="shared" si="232"/>
        <v>6</v>
      </c>
      <c r="BW650" s="249" t="str">
        <f t="shared" si="233"/>
        <v>Everclean Cloak</v>
      </c>
      <c r="BX650" s="249">
        <f t="shared" si="223"/>
        <v>0</v>
      </c>
      <c r="BY650" s="168">
        <f t="shared" si="222"/>
        <v>0</v>
      </c>
      <c r="BZ650" s="171"/>
    </row>
    <row r="651" spans="35:78" ht="12.75">
      <c r="AI651"/>
      <c r="AM651" s="117"/>
      <c r="BQ651" s="211">
        <f t="shared" si="221"/>
        <v>153</v>
      </c>
      <c r="BR651" s="249" t="str">
        <f t="shared" si="228"/>
        <v>Cloak, Warm</v>
      </c>
      <c r="BS651" s="168">
        <f t="shared" si="229"/>
        <v>0</v>
      </c>
      <c r="BT651" s="168">
        <f t="shared" si="230"/>
        <v>300</v>
      </c>
      <c r="BU651" s="168">
        <f t="shared" si="231"/>
        <v>2</v>
      </c>
      <c r="BV651" s="249">
        <f t="shared" si="232"/>
        <v>6</v>
      </c>
      <c r="BW651" s="249" t="str">
        <f t="shared" si="233"/>
        <v>Warm Cloak</v>
      </c>
      <c r="BX651" s="249">
        <f t="shared" si="223"/>
        <v>0</v>
      </c>
      <c r="BY651" s="168">
        <f t="shared" si="222"/>
        <v>0</v>
      </c>
      <c r="BZ651" s="171"/>
    </row>
    <row r="652" spans="35:78" ht="12.75">
      <c r="AI652"/>
      <c r="AM652" s="117"/>
      <c r="BQ652" s="211">
        <f t="shared" si="221"/>
        <v>154</v>
      </c>
      <c r="BR652" s="249" t="str">
        <f t="shared" si="228"/>
        <v>Fire Starter</v>
      </c>
      <c r="BS652" s="168">
        <f t="shared" si="229"/>
        <v>0</v>
      </c>
      <c r="BT652" s="168">
        <f t="shared" si="230"/>
        <v>100</v>
      </c>
      <c r="BU652" s="168">
        <f t="shared" si="231"/>
        <v>2</v>
      </c>
      <c r="BV652" s="249" t="e">
        <f t="shared" si="232"/>
        <v>#VALUE!</v>
      </c>
      <c r="BW652" s="249" t="str">
        <f t="shared" si="233"/>
        <v>Fire Starter</v>
      </c>
      <c r="BX652" s="249">
        <f t="shared" si="223"/>
        <v>0</v>
      </c>
      <c r="BY652" s="168">
        <f t="shared" si="222"/>
        <v>0</v>
      </c>
      <c r="BZ652" s="171"/>
    </row>
    <row r="653" spans="35:78" ht="12.75">
      <c r="AI653"/>
      <c r="AM653" s="117"/>
      <c r="BQ653" s="211">
        <f t="shared" si="221"/>
        <v>155</v>
      </c>
      <c r="BR653" s="249" t="str">
        <f t="shared" si="228"/>
        <v>Firefly Chalk (stick)</v>
      </c>
      <c r="BS653" s="168">
        <f t="shared" si="229"/>
        <v>0</v>
      </c>
      <c r="BT653" s="168">
        <f t="shared" si="230"/>
        <v>12</v>
      </c>
      <c r="BU653" s="168">
        <f t="shared" si="231"/>
        <v>0</v>
      </c>
      <c r="BV653" s="249" t="e">
        <f t="shared" si="232"/>
        <v>#VALUE!</v>
      </c>
      <c r="BW653" s="249" t="str">
        <f t="shared" si="233"/>
        <v>Firefly Chalk (stick)</v>
      </c>
      <c r="BX653" s="249">
        <f t="shared" si="223"/>
        <v>0</v>
      </c>
      <c r="BY653" s="168">
        <f t="shared" si="222"/>
        <v>0</v>
      </c>
      <c r="BZ653" s="171"/>
    </row>
    <row r="654" spans="35:78" ht="12.75">
      <c r="AI654"/>
      <c r="AM654" s="117"/>
      <c r="BQ654" s="211">
        <f t="shared" si="221"/>
        <v>156</v>
      </c>
      <c r="BR654" s="249" t="str">
        <f t="shared" si="228"/>
        <v>Floating Chair</v>
      </c>
      <c r="BS654" s="168">
        <f t="shared" si="229"/>
        <v>0</v>
      </c>
      <c r="BT654" s="168">
        <f t="shared" si="230"/>
        <v>250</v>
      </c>
      <c r="BU654" s="168">
        <f t="shared" si="231"/>
        <v>0</v>
      </c>
      <c r="BV654" s="249" t="e">
        <f t="shared" si="232"/>
        <v>#VALUE!</v>
      </c>
      <c r="BW654" s="249" t="str">
        <f t="shared" si="233"/>
        <v>Floating Chair</v>
      </c>
      <c r="BX654" s="249">
        <f t="shared" si="223"/>
        <v>0</v>
      </c>
      <c r="BY654" s="168">
        <f t="shared" si="222"/>
        <v>0</v>
      </c>
      <c r="BZ654" s="171"/>
    </row>
    <row r="655" spans="35:78" ht="12.75">
      <c r="AI655"/>
      <c r="AM655" s="117"/>
      <c r="BQ655" s="211">
        <f t="shared" si="221"/>
        <v>157</v>
      </c>
      <c r="BR655" s="249" t="str">
        <f t="shared" si="228"/>
        <v>Floating Chair, Large</v>
      </c>
      <c r="BS655" s="168">
        <f t="shared" si="229"/>
        <v>0</v>
      </c>
      <c r="BT655" s="168">
        <f t="shared" si="230"/>
        <v>600</v>
      </c>
      <c r="BU655" s="168">
        <f t="shared" si="231"/>
        <v>0</v>
      </c>
      <c r="BV655" s="249">
        <f t="shared" si="232"/>
        <v>15</v>
      </c>
      <c r="BW655" s="249" t="str">
        <f t="shared" si="233"/>
        <v>Large Floating Chair</v>
      </c>
      <c r="BX655" s="249">
        <f t="shared" si="223"/>
        <v>0</v>
      </c>
      <c r="BY655" s="168">
        <f t="shared" si="222"/>
        <v>0</v>
      </c>
      <c r="BZ655" s="171"/>
    </row>
    <row r="656" spans="35:78" ht="12.75">
      <c r="AI656"/>
      <c r="AM656" s="117"/>
      <c r="BQ656" s="211">
        <f t="shared" si="221"/>
        <v>158</v>
      </c>
      <c r="BR656" s="249" t="str">
        <f t="shared" si="228"/>
        <v>Hambrell's Contract</v>
      </c>
      <c r="BS656" s="168">
        <f t="shared" si="229"/>
        <v>0</v>
      </c>
      <c r="BT656" s="168">
        <f t="shared" si="230"/>
        <v>700</v>
      </c>
      <c r="BU656" s="168">
        <f t="shared" si="231"/>
        <v>0</v>
      </c>
      <c r="BV656" s="249" t="e">
        <f t="shared" si="232"/>
        <v>#VALUE!</v>
      </c>
      <c r="BW656" s="249" t="str">
        <f t="shared" si="233"/>
        <v>Hambrell's Contract</v>
      </c>
      <c r="BX656" s="249">
        <f t="shared" si="223"/>
        <v>0</v>
      </c>
      <c r="BY656" s="168">
        <f t="shared" si="222"/>
        <v>0</v>
      </c>
      <c r="BZ656" s="171"/>
    </row>
    <row r="657" spans="35:78" ht="12.75">
      <c r="AI657"/>
      <c r="AM657" s="117"/>
      <c r="BQ657" s="211">
        <f t="shared" si="221"/>
        <v>159</v>
      </c>
      <c r="BR657" s="249" t="str">
        <f t="shared" si="228"/>
        <v>Heat Stone</v>
      </c>
      <c r="BS657" s="168">
        <f t="shared" si="229"/>
        <v>0</v>
      </c>
      <c r="BT657" s="168">
        <f t="shared" si="230"/>
        <v>100</v>
      </c>
      <c r="BU657" s="168">
        <f t="shared" si="231"/>
        <v>3</v>
      </c>
      <c r="BV657" s="249" t="e">
        <f t="shared" si="232"/>
        <v>#VALUE!</v>
      </c>
      <c r="BW657" s="249" t="str">
        <f t="shared" si="233"/>
        <v>Heat Stone</v>
      </c>
      <c r="BX657" s="249">
        <f t="shared" si="223"/>
        <v>0</v>
      </c>
      <c r="BY657" s="168">
        <f t="shared" si="222"/>
        <v>0</v>
      </c>
      <c r="BZ657" s="171"/>
    </row>
    <row r="658" spans="35:78" ht="12.75">
      <c r="AI658"/>
      <c r="AM658" s="117"/>
      <c r="BQ658" s="211">
        <f t="shared" si="221"/>
        <v>160</v>
      </c>
      <c r="BR658" s="249" t="str">
        <f t="shared" si="228"/>
        <v>Hot Pot</v>
      </c>
      <c r="BS658" s="168">
        <f t="shared" si="229"/>
        <v>0</v>
      </c>
      <c r="BT658" s="168">
        <f t="shared" si="230"/>
        <v>100</v>
      </c>
      <c r="BU658" s="168">
        <f t="shared" si="231"/>
        <v>8</v>
      </c>
      <c r="BV658" s="249" t="e">
        <f t="shared" si="232"/>
        <v>#VALUE!</v>
      </c>
      <c r="BW658" s="249" t="str">
        <f t="shared" si="233"/>
        <v>Hot Pot</v>
      </c>
      <c r="BX658" s="249">
        <f t="shared" si="223"/>
        <v>0</v>
      </c>
      <c r="BY658" s="168">
        <f t="shared" si="222"/>
        <v>0</v>
      </c>
      <c r="BZ658" s="171"/>
    </row>
    <row r="659" spans="35:78" ht="12.75">
      <c r="AI659"/>
      <c r="AM659" s="117"/>
      <c r="BQ659" s="211">
        <f t="shared" si="221"/>
        <v>161</v>
      </c>
      <c r="BR659" s="249" t="str">
        <f t="shared" si="228"/>
        <v>Light Quartz, Large</v>
      </c>
      <c r="BS659" s="168">
        <f t="shared" si="229"/>
        <v>0</v>
      </c>
      <c r="BT659" s="168">
        <f t="shared" si="230"/>
        <v>200</v>
      </c>
      <c r="BU659" s="168">
        <f t="shared" si="231"/>
        <v>20</v>
      </c>
      <c r="BV659" s="249">
        <f t="shared" si="232"/>
        <v>13</v>
      </c>
      <c r="BW659" s="249" t="str">
        <f t="shared" si="233"/>
        <v>Large Light Quartz</v>
      </c>
      <c r="BX659" s="249">
        <f t="shared" si="223"/>
        <v>0</v>
      </c>
      <c r="BY659" s="168">
        <f t="shared" si="222"/>
        <v>0</v>
      </c>
      <c r="BZ659" s="171"/>
    </row>
    <row r="660" spans="35:78" ht="12.75">
      <c r="AI660"/>
      <c r="AM660" s="117"/>
      <c r="BQ660" s="211">
        <f t="shared" si="221"/>
        <v>162</v>
      </c>
      <c r="BR660" s="249" t="str">
        <f t="shared" si="228"/>
        <v>Light Quartz, Medium</v>
      </c>
      <c r="BS660" s="168">
        <f t="shared" si="229"/>
        <v>0</v>
      </c>
      <c r="BT660" s="168">
        <f t="shared" si="230"/>
        <v>125</v>
      </c>
      <c r="BU660" s="168">
        <f t="shared" si="231"/>
        <v>6</v>
      </c>
      <c r="BV660" s="249">
        <f t="shared" si="232"/>
        <v>13</v>
      </c>
      <c r="BW660" s="249" t="str">
        <f t="shared" si="233"/>
        <v>Medium Light Quartz</v>
      </c>
      <c r="BX660" s="249">
        <f t="shared" si="223"/>
        <v>0</v>
      </c>
      <c r="BY660" s="168">
        <f t="shared" si="222"/>
        <v>0</v>
      </c>
      <c r="BZ660" s="171"/>
    </row>
    <row r="661" spans="35:78" ht="12.75">
      <c r="AI661"/>
      <c r="AM661" s="117"/>
      <c r="BQ661" s="211">
        <f t="shared" si="221"/>
        <v>163</v>
      </c>
      <c r="BR661" s="249" t="str">
        <f t="shared" si="228"/>
        <v>Light Quartz, Small</v>
      </c>
      <c r="BS661" s="168">
        <f t="shared" si="229"/>
        <v>0</v>
      </c>
      <c r="BT661" s="168">
        <f t="shared" si="230"/>
        <v>75</v>
      </c>
      <c r="BU661" s="168">
        <f t="shared" si="231"/>
        <v>2</v>
      </c>
      <c r="BV661" s="249">
        <f t="shared" si="232"/>
        <v>13</v>
      </c>
      <c r="BW661" s="249" t="str">
        <f t="shared" si="233"/>
        <v>Small Light Quartz</v>
      </c>
      <c r="BX661" s="249">
        <f t="shared" si="223"/>
        <v>0</v>
      </c>
      <c r="BY661" s="168">
        <f t="shared" si="222"/>
        <v>0</v>
      </c>
      <c r="BZ661" s="171"/>
    </row>
    <row r="662" spans="35:78" ht="12.75">
      <c r="AI662"/>
      <c r="AM662" s="117"/>
      <c r="BQ662" s="211">
        <f t="shared" si="221"/>
        <v>164</v>
      </c>
      <c r="BR662" s="249" t="str">
        <f t="shared" si="228"/>
        <v>Message Stone</v>
      </c>
      <c r="BS662" s="168">
        <f t="shared" si="229"/>
        <v>0</v>
      </c>
      <c r="BT662" s="168">
        <f t="shared" si="230"/>
        <v>300</v>
      </c>
      <c r="BU662" s="168">
        <f t="shared" si="231"/>
        <v>2</v>
      </c>
      <c r="BV662" s="249" t="e">
        <f t="shared" si="232"/>
        <v>#VALUE!</v>
      </c>
      <c r="BW662" s="249" t="str">
        <f t="shared" si="233"/>
        <v>Message Stone</v>
      </c>
      <c r="BX662" s="249">
        <f t="shared" si="223"/>
        <v>0</v>
      </c>
      <c r="BY662" s="168">
        <f t="shared" si="222"/>
        <v>0</v>
      </c>
      <c r="BZ662" s="171"/>
    </row>
    <row r="663" spans="35:78" ht="12.75">
      <c r="AI663"/>
      <c r="AM663" s="117"/>
      <c r="AN663" s="106"/>
      <c r="AO663" s="106"/>
      <c r="AP663" s="106"/>
      <c r="AQ663" s="106"/>
      <c r="AR663" s="106"/>
      <c r="AS663" s="106"/>
      <c r="BQ663" s="211">
        <f t="shared" si="221"/>
        <v>165</v>
      </c>
      <c r="BR663" s="249" t="str">
        <f t="shared" si="228"/>
        <v>Message Stone, Warded</v>
      </c>
      <c r="BS663" s="168">
        <f t="shared" si="229"/>
        <v>0</v>
      </c>
      <c r="BT663" s="168">
        <f t="shared" si="230"/>
        <v>450</v>
      </c>
      <c r="BU663" s="168">
        <f t="shared" si="231"/>
        <v>2</v>
      </c>
      <c r="BV663" s="249">
        <f t="shared" si="232"/>
        <v>14</v>
      </c>
      <c r="BW663" s="249" t="str">
        <f t="shared" si="233"/>
        <v>Warded Message Stone</v>
      </c>
      <c r="BX663" s="249">
        <f t="shared" si="223"/>
        <v>0</v>
      </c>
      <c r="BY663" s="168">
        <f t="shared" si="222"/>
        <v>0</v>
      </c>
      <c r="BZ663" s="171"/>
    </row>
    <row r="664" spans="35:78" ht="12.75">
      <c r="AI664"/>
      <c r="AM664" s="117"/>
      <c r="AN664" s="106"/>
      <c r="AO664" s="106"/>
      <c r="AP664" s="106"/>
      <c r="AQ664" s="106"/>
      <c r="AR664" s="106"/>
      <c r="AS664" s="106"/>
      <c r="BQ664" s="211">
        <f t="shared" si="221"/>
        <v>166</v>
      </c>
      <c r="BR664" s="249" t="str">
        <f t="shared" si="228"/>
        <v>Pot of Grumbah, Large</v>
      </c>
      <c r="BS664" s="168">
        <f t="shared" si="229"/>
        <v>0</v>
      </c>
      <c r="BT664" s="168">
        <f t="shared" si="230"/>
        <v>200</v>
      </c>
      <c r="BU664" s="168">
        <f t="shared" si="231"/>
        <v>5</v>
      </c>
      <c r="BV664" s="249">
        <f t="shared" si="232"/>
        <v>15</v>
      </c>
      <c r="BW664" s="249" t="str">
        <f t="shared" si="233"/>
        <v>Large Pot of Grumbah</v>
      </c>
      <c r="BX664" s="249">
        <f t="shared" si="223"/>
        <v>0</v>
      </c>
      <c r="BY664" s="168">
        <f t="shared" si="222"/>
        <v>0</v>
      </c>
      <c r="BZ664" s="171"/>
    </row>
    <row r="665" spans="35:78" ht="12.75">
      <c r="AI665"/>
      <c r="AM665" s="117"/>
      <c r="AN665" s="106"/>
      <c r="AO665" s="106"/>
      <c r="AP665" s="106"/>
      <c r="AQ665" s="106"/>
      <c r="AR665" s="106"/>
      <c r="AS665" s="106"/>
      <c r="BQ665" s="211">
        <f t="shared" si="221"/>
        <v>167</v>
      </c>
      <c r="BR665" s="249" t="str">
        <f t="shared" si="228"/>
        <v>Pot of Grumbah, Small</v>
      </c>
      <c r="BS665" s="168">
        <f t="shared" si="229"/>
        <v>0</v>
      </c>
      <c r="BT665" s="168">
        <f t="shared" si="230"/>
        <v>75</v>
      </c>
      <c r="BU665" s="168">
        <f t="shared" si="231"/>
        <v>2</v>
      </c>
      <c r="BV665" s="249">
        <f t="shared" si="232"/>
        <v>15</v>
      </c>
      <c r="BW665" s="249" t="str">
        <f t="shared" si="233"/>
        <v>Small Pot of Grumbah</v>
      </c>
      <c r="BX665" s="249">
        <f t="shared" si="223"/>
        <v>0</v>
      </c>
      <c r="BY665" s="168">
        <f t="shared" si="222"/>
        <v>0</v>
      </c>
      <c r="BZ665" s="171"/>
    </row>
    <row r="666" spans="35:78" ht="12.75">
      <c r="AI666"/>
      <c r="AM666" s="117"/>
      <c r="AN666" s="106"/>
      <c r="AO666" s="106"/>
      <c r="AP666" s="106"/>
      <c r="AQ666" s="106"/>
      <c r="AR666" s="106"/>
      <c r="AS666" s="106"/>
      <c r="BQ666" s="211">
        <f t="shared" si="221"/>
        <v>168</v>
      </c>
      <c r="BR666" s="249" t="str">
        <f t="shared" si="228"/>
        <v>Quiet Pouch</v>
      </c>
      <c r="BS666" s="168">
        <f t="shared" si="229"/>
        <v>0</v>
      </c>
      <c r="BT666" s="168">
        <f t="shared" si="230"/>
        <v>65</v>
      </c>
      <c r="BU666" s="168">
        <f t="shared" si="231"/>
        <v>2</v>
      </c>
      <c r="BV666" s="249" t="e">
        <f t="shared" si="232"/>
        <v>#VALUE!</v>
      </c>
      <c r="BW666" s="249" t="str">
        <f t="shared" si="233"/>
        <v>Quiet Pouch</v>
      </c>
      <c r="BX666" s="249">
        <f t="shared" si="223"/>
        <v>0</v>
      </c>
      <c r="BY666" s="168">
        <f t="shared" si="222"/>
        <v>0</v>
      </c>
      <c r="BZ666" s="171"/>
    </row>
    <row r="667" spans="35:78" ht="12.75">
      <c r="AI667"/>
      <c r="AM667" s="117"/>
      <c r="AN667" s="106"/>
      <c r="AO667" s="106"/>
      <c r="AP667" s="106"/>
      <c r="AQ667" s="106"/>
      <c r="AR667" s="106"/>
      <c r="AS667" s="106"/>
      <c r="BQ667" s="211">
        <f t="shared" si="221"/>
        <v>169</v>
      </c>
      <c r="BR667" s="249" t="str">
        <f t="shared" si="228"/>
        <v>Season Lamp</v>
      </c>
      <c r="BS667" s="168">
        <f t="shared" si="229"/>
        <v>0</v>
      </c>
      <c r="BT667" s="168">
        <f t="shared" si="230"/>
        <v>350</v>
      </c>
      <c r="BU667" s="168">
        <f t="shared" si="231"/>
        <v>0</v>
      </c>
      <c r="BV667" s="249" t="e">
        <f t="shared" si="232"/>
        <v>#VALUE!</v>
      </c>
      <c r="BW667" s="249" t="str">
        <f t="shared" si="233"/>
        <v>Season Lamp</v>
      </c>
      <c r="BX667" s="249">
        <f t="shared" si="223"/>
        <v>0</v>
      </c>
      <c r="BY667" s="168">
        <f t="shared" si="222"/>
        <v>0</v>
      </c>
      <c r="BZ667" s="171"/>
    </row>
    <row r="668" spans="35:78" ht="12.75">
      <c r="AI668"/>
      <c r="AM668" s="117"/>
      <c r="AN668" s="106"/>
      <c r="AO668" s="106"/>
      <c r="AP668" s="106"/>
      <c r="AQ668" s="106"/>
      <c r="AR668" s="106"/>
      <c r="AS668" s="106"/>
      <c r="BQ668" s="211">
        <f t="shared" si="221"/>
        <v>170</v>
      </c>
      <c r="BR668" s="249" t="str">
        <f t="shared" si="228"/>
        <v>Talisman, Circle Five</v>
      </c>
      <c r="BS668" s="168">
        <f t="shared" si="229"/>
        <v>0</v>
      </c>
      <c r="BT668" s="168">
        <f t="shared" si="230"/>
        <v>750</v>
      </c>
      <c r="BU668" s="168">
        <f t="shared" si="231"/>
        <v>2</v>
      </c>
      <c r="BV668" s="249">
        <f t="shared" si="232"/>
        <v>9</v>
      </c>
      <c r="BW668" s="249" t="str">
        <f t="shared" si="233"/>
        <v>Circle Five Talisman</v>
      </c>
      <c r="BX668" s="249">
        <f t="shared" si="223"/>
        <v>0</v>
      </c>
      <c r="BY668" s="168">
        <f t="shared" si="222"/>
        <v>0</v>
      </c>
      <c r="BZ668" s="171"/>
    </row>
    <row r="669" spans="35:78" ht="12.75">
      <c r="AI669"/>
      <c r="AM669" s="117"/>
      <c r="AN669" s="106"/>
      <c r="AO669" s="106"/>
      <c r="AP669" s="106"/>
      <c r="AQ669" s="106"/>
      <c r="AR669" s="106"/>
      <c r="AS669" s="106"/>
      <c r="BQ669" s="211">
        <f t="shared" si="221"/>
        <v>171</v>
      </c>
      <c r="BR669" s="249" t="str">
        <f t="shared" si="228"/>
        <v>Talisman, Circle Four</v>
      </c>
      <c r="BS669" s="168">
        <f t="shared" si="229"/>
        <v>0</v>
      </c>
      <c r="BT669" s="168">
        <f t="shared" si="230"/>
        <v>600</v>
      </c>
      <c r="BU669" s="168">
        <f t="shared" si="231"/>
        <v>2</v>
      </c>
      <c r="BV669" s="249">
        <f t="shared" si="232"/>
        <v>9</v>
      </c>
      <c r="BW669" s="249" t="str">
        <f t="shared" si="233"/>
        <v>Circle Four Talisman</v>
      </c>
      <c r="BX669" s="249">
        <f t="shared" si="223"/>
        <v>0</v>
      </c>
      <c r="BY669" s="168">
        <f t="shared" si="222"/>
        <v>0</v>
      </c>
      <c r="BZ669" s="171"/>
    </row>
    <row r="670" spans="35:78" ht="12.75">
      <c r="AI670"/>
      <c r="AM670" s="117"/>
      <c r="AN670" s="106"/>
      <c r="AO670" s="106"/>
      <c r="AP670" s="106"/>
      <c r="AQ670" s="106"/>
      <c r="AR670" s="106"/>
      <c r="AS670" s="106"/>
      <c r="BQ670" s="211">
        <f t="shared" si="221"/>
        <v>172</v>
      </c>
      <c r="BR670" s="249" t="str">
        <f t="shared" si="228"/>
        <v>Talisman, Circle One</v>
      </c>
      <c r="BS670" s="168">
        <f t="shared" si="229"/>
        <v>0</v>
      </c>
      <c r="BT670" s="168">
        <f t="shared" si="230"/>
        <v>150</v>
      </c>
      <c r="BU670" s="168">
        <f t="shared" si="231"/>
        <v>2</v>
      </c>
      <c r="BV670" s="249">
        <f t="shared" si="232"/>
        <v>9</v>
      </c>
      <c r="BW670" s="249" t="str">
        <f t="shared" si="233"/>
        <v>Circle One Talisman</v>
      </c>
      <c r="BX670" s="249">
        <f t="shared" si="223"/>
        <v>0</v>
      </c>
      <c r="BY670" s="168">
        <f t="shared" si="222"/>
        <v>0</v>
      </c>
      <c r="BZ670" s="171"/>
    </row>
    <row r="671" spans="35:78" ht="12.75">
      <c r="AI671"/>
      <c r="AM671" s="117"/>
      <c r="AN671" s="106"/>
      <c r="AO671" s="106"/>
      <c r="AP671" s="106"/>
      <c r="AQ671" s="106"/>
      <c r="AR671" s="106"/>
      <c r="AS671" s="106"/>
      <c r="BQ671" s="211">
        <f t="shared" si="221"/>
        <v>173</v>
      </c>
      <c r="BR671" s="249" t="str">
        <f t="shared" si="228"/>
        <v>Talisman, Circle Three</v>
      </c>
      <c r="BS671" s="168">
        <f t="shared" si="229"/>
        <v>0</v>
      </c>
      <c r="BT671" s="168">
        <f t="shared" si="230"/>
        <v>450</v>
      </c>
      <c r="BU671" s="168">
        <f t="shared" si="231"/>
        <v>2</v>
      </c>
      <c r="BV671" s="249">
        <f t="shared" si="232"/>
        <v>9</v>
      </c>
      <c r="BW671" s="249" t="str">
        <f t="shared" si="233"/>
        <v>Circle Three Talisman</v>
      </c>
      <c r="BX671" s="249">
        <f t="shared" si="223"/>
        <v>0</v>
      </c>
      <c r="BY671" s="168">
        <f t="shared" si="222"/>
        <v>0</v>
      </c>
      <c r="BZ671" s="171"/>
    </row>
    <row r="672" spans="35:78" ht="12.75">
      <c r="AI672"/>
      <c r="AM672" s="117"/>
      <c r="AN672" s="106"/>
      <c r="AO672" s="106"/>
      <c r="AP672" s="106"/>
      <c r="AQ672" s="106"/>
      <c r="AR672" s="106"/>
      <c r="AS672" s="106"/>
      <c r="BQ672" s="211">
        <f t="shared" si="221"/>
        <v>174</v>
      </c>
      <c r="BR672" s="249" t="str">
        <f t="shared" si="228"/>
        <v>Talisman, Circle Two</v>
      </c>
      <c r="BS672" s="168">
        <f t="shared" si="229"/>
        <v>0</v>
      </c>
      <c r="BT672" s="168">
        <f t="shared" si="230"/>
        <v>300</v>
      </c>
      <c r="BU672" s="168">
        <f t="shared" si="231"/>
        <v>2</v>
      </c>
      <c r="BV672" s="249">
        <f t="shared" si="232"/>
        <v>9</v>
      </c>
      <c r="BW672" s="249" t="str">
        <f t="shared" si="233"/>
        <v>Circle Two Talisman</v>
      </c>
      <c r="BX672" s="249">
        <f t="shared" si="223"/>
        <v>0</v>
      </c>
      <c r="BY672" s="168">
        <f t="shared" si="222"/>
        <v>0</v>
      </c>
      <c r="BZ672" s="171"/>
    </row>
    <row r="673" spans="35:78" ht="12.75">
      <c r="AI673"/>
      <c r="AM673" s="117"/>
      <c r="AN673" s="106"/>
      <c r="AO673" s="106"/>
      <c r="AP673" s="106"/>
      <c r="AQ673" s="106"/>
      <c r="AR673" s="106"/>
      <c r="AS673" s="106"/>
      <c r="BQ673" s="211">
        <f t="shared" si="221"/>
        <v>175</v>
      </c>
      <c r="BR673" s="249" t="str">
        <f t="shared" si="228"/>
        <v>Traveler's Mug</v>
      </c>
      <c r="BS673" s="168">
        <f t="shared" si="229"/>
        <v>0</v>
      </c>
      <c r="BT673" s="168">
        <f t="shared" si="230"/>
        <v>350</v>
      </c>
      <c r="BU673" s="168">
        <f t="shared" si="231"/>
        <v>2</v>
      </c>
      <c r="BV673" s="249" t="e">
        <f t="shared" si="232"/>
        <v>#VALUE!</v>
      </c>
      <c r="BW673" s="249" t="str">
        <f t="shared" si="233"/>
        <v>Traveler's Mug</v>
      </c>
      <c r="BX673" s="249">
        <f t="shared" si="223"/>
        <v>0</v>
      </c>
      <c r="BY673" s="168">
        <f t="shared" si="222"/>
        <v>0</v>
      </c>
      <c r="BZ673" s="171"/>
    </row>
    <row r="674" spans="35:78" ht="12.75">
      <c r="AI674"/>
      <c r="AM674" s="117"/>
      <c r="AN674" s="106"/>
      <c r="AO674" s="106"/>
      <c r="AP674" s="106"/>
      <c r="AQ674" s="106"/>
      <c r="AR674" s="106"/>
      <c r="AS674" s="106"/>
      <c r="BQ674" s="211">
        <f t="shared" si="221"/>
        <v>176</v>
      </c>
      <c r="BR674" s="249" t="str">
        <f t="shared" si="228"/>
        <v>Upandal's Blessing</v>
      </c>
      <c r="BS674" s="168">
        <f t="shared" si="229"/>
        <v>0</v>
      </c>
      <c r="BT674" s="168">
        <f t="shared" si="230"/>
        <v>275</v>
      </c>
      <c r="BU674" s="168">
        <f t="shared" si="231"/>
        <v>3</v>
      </c>
      <c r="BV674" s="249" t="e">
        <f t="shared" si="232"/>
        <v>#VALUE!</v>
      </c>
      <c r="BW674" s="249" t="str">
        <f t="shared" si="233"/>
        <v>Upandal's Blessing</v>
      </c>
      <c r="BX674" s="249">
        <f t="shared" si="223"/>
        <v>0</v>
      </c>
      <c r="BY674" s="168">
        <f t="shared" si="222"/>
        <v>0</v>
      </c>
      <c r="BZ674" s="171"/>
    </row>
    <row r="675" spans="35:78" ht="12.75">
      <c r="AI675"/>
      <c r="AM675" s="117"/>
      <c r="AN675" s="106"/>
      <c r="AO675" s="106"/>
      <c r="AP675" s="106"/>
      <c r="AQ675" s="106"/>
      <c r="AR675" s="106"/>
      <c r="BQ675" s="211">
        <f t="shared" si="221"/>
        <v>177</v>
      </c>
      <c r="BR675" s="249" t="str">
        <f t="shared" si="228"/>
        <v>Volus Brooch</v>
      </c>
      <c r="BS675" s="168">
        <f t="shared" si="229"/>
        <v>0</v>
      </c>
      <c r="BT675" s="168">
        <f t="shared" si="230"/>
        <v>510</v>
      </c>
      <c r="BU675" s="168">
        <f t="shared" si="231"/>
        <v>2</v>
      </c>
      <c r="BV675" s="249" t="e">
        <f t="shared" si="232"/>
        <v>#VALUE!</v>
      </c>
      <c r="BW675" s="249" t="str">
        <f t="shared" si="233"/>
        <v>Volus Brooch</v>
      </c>
      <c r="BX675" s="249">
        <f t="shared" si="223"/>
        <v>0</v>
      </c>
      <c r="BY675" s="168">
        <f t="shared" si="222"/>
        <v>0</v>
      </c>
      <c r="BZ675" s="171"/>
    </row>
    <row r="676" spans="35:78" ht="12.75">
      <c r="AI676"/>
      <c r="AM676" s="117"/>
      <c r="AN676" s="106"/>
      <c r="AO676" s="106"/>
      <c r="AP676" s="106"/>
      <c r="AQ676" s="106"/>
      <c r="BQ676" s="211">
        <f t="shared" si="221"/>
        <v>178</v>
      </c>
      <c r="BR676" s="249" t="str">
        <f t="shared" si="228"/>
        <v>Wind Instrument</v>
      </c>
      <c r="BS676" s="168">
        <f t="shared" si="229"/>
        <v>0</v>
      </c>
      <c r="BT676" s="168">
        <f t="shared" si="230"/>
        <v>250</v>
      </c>
      <c r="BU676" s="168">
        <f t="shared" si="231"/>
        <v>0</v>
      </c>
      <c r="BV676" s="249" t="e">
        <f t="shared" si="232"/>
        <v>#VALUE!</v>
      </c>
      <c r="BW676" s="249" t="str">
        <f t="shared" si="233"/>
        <v>Wind Instrument</v>
      </c>
      <c r="BX676" s="249">
        <f t="shared" si="223"/>
        <v>0</v>
      </c>
      <c r="BY676" s="168">
        <f t="shared" si="222"/>
        <v>0</v>
      </c>
      <c r="BZ676" s="171"/>
    </row>
    <row r="677" spans="35:78" ht="12.75">
      <c r="AI677"/>
      <c r="AM677" s="117"/>
      <c r="AN677" s="106"/>
      <c r="AO677" s="106"/>
      <c r="AP677" s="106"/>
      <c r="AQ677" s="106"/>
      <c r="BQ677" s="211">
        <f t="shared" si="221"/>
        <v>179</v>
      </c>
      <c r="BR677" s="249">
        <f t="shared" si="228"/>
        <v>0</v>
      </c>
      <c r="BS677" s="168">
        <f t="shared" si="229"/>
        <v>0</v>
      </c>
      <c r="BT677" s="168">
        <f t="shared" si="230"/>
        <v>0</v>
      </c>
      <c r="BU677" s="168">
        <f t="shared" si="231"/>
        <v>0</v>
      </c>
      <c r="BV677" s="249" t="e">
        <f t="shared" si="232"/>
        <v>#VALUE!</v>
      </c>
      <c r="BW677" s="249" t="str">
        <f t="shared" si="233"/>
        <v>0</v>
      </c>
      <c r="BX677" s="249">
        <f t="shared" si="223"/>
        <v>0</v>
      </c>
      <c r="BY677" s="168">
        <f t="shared" si="222"/>
        <v>0</v>
      </c>
      <c r="BZ677" s="171"/>
    </row>
    <row r="678" spans="35:78" ht="12.75">
      <c r="AI678"/>
      <c r="AM678" s="117"/>
      <c r="AN678" s="214"/>
      <c r="AO678" s="214"/>
      <c r="AP678" s="214"/>
      <c r="AQ678" s="214"/>
      <c r="BQ678" s="211">
        <f t="shared" si="221"/>
        <v>180</v>
      </c>
      <c r="BR678" s="249">
        <f t="shared" si="228"/>
        <v>0</v>
      </c>
      <c r="BS678" s="168">
        <f t="shared" si="229"/>
        <v>0</v>
      </c>
      <c r="BT678" s="168">
        <f t="shared" si="230"/>
        <v>0</v>
      </c>
      <c r="BU678" s="168">
        <f t="shared" si="231"/>
        <v>0</v>
      </c>
      <c r="BV678" s="249" t="e">
        <f t="shared" si="232"/>
        <v>#VALUE!</v>
      </c>
      <c r="BW678" s="249" t="str">
        <f t="shared" si="233"/>
        <v>0</v>
      </c>
      <c r="BX678" s="249">
        <f t="shared" si="223"/>
        <v>0</v>
      </c>
      <c r="BY678" s="168">
        <f t="shared" si="222"/>
        <v>0</v>
      </c>
      <c r="BZ678" s="171"/>
    </row>
    <row r="679" spans="35:78" ht="12.75">
      <c r="AI679"/>
      <c r="AM679" s="117"/>
      <c r="AN679" s="214"/>
      <c r="AO679" s="214"/>
      <c r="AP679" s="214"/>
      <c r="AQ679" s="214"/>
      <c r="BQ679" s="211">
        <f t="shared" si="221"/>
        <v>181</v>
      </c>
      <c r="BR679" s="249">
        <f t="shared" si="228"/>
        <v>0</v>
      </c>
      <c r="BS679" s="168">
        <f t="shared" si="229"/>
        <v>0</v>
      </c>
      <c r="BT679" s="168">
        <f t="shared" si="230"/>
        <v>0</v>
      </c>
      <c r="BU679" s="168">
        <f t="shared" si="231"/>
        <v>0</v>
      </c>
      <c r="BV679" s="249" t="e">
        <f t="shared" si="232"/>
        <v>#VALUE!</v>
      </c>
      <c r="BW679" s="249" t="str">
        <f t="shared" si="233"/>
        <v>0</v>
      </c>
      <c r="BX679" s="249">
        <f t="shared" si="223"/>
        <v>0</v>
      </c>
      <c r="BY679" s="168">
        <f t="shared" si="222"/>
        <v>0</v>
      </c>
      <c r="BZ679" s="171"/>
    </row>
    <row r="680" spans="34:78" ht="12.75">
      <c r="AH680"/>
      <c r="AL680" s="117"/>
      <c r="AM680" s="106"/>
      <c r="AN680" s="214"/>
      <c r="AO680" s="214"/>
      <c r="AP680" s="214"/>
      <c r="AQ680" s="214"/>
      <c r="BQ680" s="212">
        <f t="shared" si="221"/>
        <v>182</v>
      </c>
      <c r="BR680" s="114">
        <f t="shared" si="228"/>
        <v>0</v>
      </c>
      <c r="BS680" s="131">
        <f t="shared" si="229"/>
        <v>0</v>
      </c>
      <c r="BT680" s="131">
        <f t="shared" si="230"/>
        <v>0</v>
      </c>
      <c r="BU680" s="131">
        <f t="shared" si="231"/>
        <v>0</v>
      </c>
      <c r="BV680" s="114" t="e">
        <f t="shared" si="232"/>
        <v>#VALUE!</v>
      </c>
      <c r="BW680" s="114" t="str">
        <f t="shared" si="233"/>
        <v>0</v>
      </c>
      <c r="BX680" s="114">
        <f t="shared" si="223"/>
        <v>0</v>
      </c>
      <c r="BY680" s="131">
        <f t="shared" si="222"/>
        <v>0</v>
      </c>
      <c r="BZ680" s="115"/>
    </row>
    <row r="681" spans="34:43" ht="12.75">
      <c r="AH681"/>
      <c r="AL681" s="117"/>
      <c r="AM681" s="106"/>
      <c r="AN681" s="214"/>
      <c r="AO681" s="214"/>
      <c r="AP681" s="214"/>
      <c r="AQ681" s="214"/>
    </row>
    <row r="682" spans="34:43" ht="12.75">
      <c r="AH682"/>
      <c r="AL682" s="117"/>
      <c r="AM682" s="106"/>
      <c r="AN682" s="214"/>
      <c r="AO682" s="214"/>
      <c r="AP682" s="214"/>
      <c r="AQ682" s="214"/>
    </row>
    <row r="683" spans="34:43" ht="12.75">
      <c r="AH683"/>
      <c r="AL683" s="117"/>
      <c r="AM683" s="106"/>
      <c r="AN683" s="214"/>
      <c r="AO683" s="214"/>
      <c r="AP683" s="214"/>
      <c r="AQ683" s="214"/>
    </row>
    <row r="684" spans="34:43" ht="12.75">
      <c r="AH684"/>
      <c r="AL684" s="117"/>
      <c r="AM684" s="106"/>
      <c r="AN684" s="214"/>
      <c r="AO684" s="214"/>
      <c r="AP684" s="214"/>
      <c r="AQ684" s="214"/>
    </row>
    <row r="685" spans="34:43" ht="12.75">
      <c r="AH685"/>
      <c r="AL685" s="117"/>
      <c r="AM685" s="106"/>
      <c r="AN685" s="214"/>
      <c r="AO685" s="214"/>
      <c r="AP685" s="214"/>
      <c r="AQ685" s="214"/>
    </row>
    <row r="686" spans="34:43" ht="12.75">
      <c r="AH686"/>
      <c r="AL686" s="117"/>
      <c r="AM686" s="106"/>
      <c r="AN686" s="214"/>
      <c r="AO686" s="214"/>
      <c r="AP686" s="214"/>
      <c r="AQ686" s="214"/>
    </row>
    <row r="687" spans="34:43" ht="12.75">
      <c r="AH687"/>
      <c r="AL687" s="117"/>
      <c r="AM687" s="106"/>
      <c r="AN687" s="214"/>
      <c r="AO687" s="214"/>
      <c r="AP687" s="214"/>
      <c r="AQ687" s="214"/>
    </row>
    <row r="688" spans="34:39" ht="12.75">
      <c r="AH688"/>
      <c r="AL688" s="117"/>
      <c r="AM688" s="106"/>
    </row>
    <row r="689" spans="34:39" ht="12.75">
      <c r="AH689"/>
      <c r="AL689" s="117"/>
      <c r="AM689" s="106"/>
    </row>
    <row r="690" spans="34:39" ht="12.75">
      <c r="AH690"/>
      <c r="AL690" s="117"/>
      <c r="AM690" s="106"/>
    </row>
    <row r="691" spans="34:39" ht="12.75">
      <c r="AH691"/>
      <c r="AL691" s="117"/>
      <c r="AM691" s="106"/>
    </row>
    <row r="692" spans="34:39" ht="12.75">
      <c r="AH692"/>
      <c r="AL692" s="117"/>
      <c r="AM692" s="106"/>
    </row>
    <row r="693" spans="34:39" ht="12.75">
      <c r="AH693"/>
      <c r="AL693" s="117"/>
      <c r="AM693" s="106"/>
    </row>
    <row r="694" spans="34:39" ht="12.75">
      <c r="AH694"/>
      <c r="AL694" s="117"/>
      <c r="AM694" s="106"/>
    </row>
    <row r="695" spans="34:39" ht="12.75">
      <c r="AH695"/>
      <c r="AL695" s="117"/>
      <c r="AM695" s="106"/>
    </row>
    <row r="696" spans="34:39" ht="12.75">
      <c r="AH696"/>
      <c r="AK696" s="117"/>
      <c r="AL696" s="106"/>
      <c r="AM696" s="214"/>
    </row>
    <row r="697" spans="34:39" ht="12.75">
      <c r="AH697"/>
      <c r="AK697" s="117"/>
      <c r="AL697" s="106"/>
      <c r="AM697" s="214"/>
    </row>
    <row r="698" spans="34:39" ht="12.75">
      <c r="AH698"/>
      <c r="AL698" s="214"/>
      <c r="AM698" s="214"/>
    </row>
    <row r="699" spans="34:39" ht="12.75">
      <c r="AH699"/>
      <c r="AL699" s="214"/>
      <c r="AM699" s="214"/>
    </row>
    <row r="700" spans="34:39" ht="12.75">
      <c r="AH700"/>
      <c r="AL700" s="214"/>
      <c r="AM700" s="214"/>
    </row>
    <row r="701" spans="34:39" ht="12.75">
      <c r="AH701"/>
      <c r="AL701" s="214"/>
      <c r="AM701" s="214"/>
    </row>
    <row r="702" spans="34:39" ht="12.75">
      <c r="AH702"/>
      <c r="AL702" s="214"/>
      <c r="AM702" s="214"/>
    </row>
    <row r="703" spans="34:39" ht="12.75">
      <c r="AH703"/>
      <c r="AL703" s="214"/>
      <c r="AM703" s="214"/>
    </row>
    <row r="704" spans="34:39" ht="12.75">
      <c r="AH704"/>
      <c r="AL704" s="214"/>
      <c r="AM704" s="214"/>
    </row>
    <row r="705" spans="34:39" ht="12.75">
      <c r="AH705"/>
      <c r="AL705" s="214"/>
      <c r="AM705" s="214"/>
    </row>
    <row r="706" spans="34:39" ht="12.75">
      <c r="AH706"/>
      <c r="AL706" s="214"/>
      <c r="AM706" s="214"/>
    </row>
    <row r="707" spans="34:39" ht="12.75">
      <c r="AH707"/>
      <c r="AL707" s="214"/>
      <c r="AM707" s="214"/>
    </row>
    <row r="708" ht="12.75">
      <c r="AH708"/>
    </row>
    <row r="709" ht="12.75">
      <c r="AH709"/>
    </row>
  </sheetData>
  <mergeCells count="525">
    <mergeCell ref="U177:X177"/>
    <mergeCell ref="U178:X178"/>
    <mergeCell ref="B27:N30"/>
    <mergeCell ref="T268:X271"/>
    <mergeCell ref="B175:D175"/>
    <mergeCell ref="B176:D176"/>
    <mergeCell ref="B177:D177"/>
    <mergeCell ref="B178:D178"/>
    <mergeCell ref="B252:E252"/>
    <mergeCell ref="V170:X170"/>
    <mergeCell ref="U16:X17"/>
    <mergeCell ref="B154:E154"/>
    <mergeCell ref="H72:I72"/>
    <mergeCell ref="H91:I91"/>
    <mergeCell ref="Q72:R72"/>
    <mergeCell ref="B41:E41"/>
    <mergeCell ref="B140:D140"/>
    <mergeCell ref="B141:D141"/>
    <mergeCell ref="B142:D142"/>
    <mergeCell ref="B143:D143"/>
    <mergeCell ref="C331:I331"/>
    <mergeCell ref="C332:I332"/>
    <mergeCell ref="H82:I82"/>
    <mergeCell ref="H73:I73"/>
    <mergeCell ref="H74:I74"/>
    <mergeCell ref="H75:I75"/>
    <mergeCell ref="H76:I76"/>
    <mergeCell ref="I118:J118"/>
    <mergeCell ref="B271:D271"/>
    <mergeCell ref="B269:D269"/>
    <mergeCell ref="B270:D270"/>
    <mergeCell ref="C327:I327"/>
    <mergeCell ref="C328:I328"/>
    <mergeCell ref="C319:I319"/>
    <mergeCell ref="C320:I320"/>
    <mergeCell ref="C321:I321"/>
    <mergeCell ref="C322:I322"/>
    <mergeCell ref="C315:I315"/>
    <mergeCell ref="C316:I316"/>
    <mergeCell ref="C317:I317"/>
    <mergeCell ref="C329:I329"/>
    <mergeCell ref="C330:I330"/>
    <mergeCell ref="C323:I323"/>
    <mergeCell ref="C324:I324"/>
    <mergeCell ref="C325:I325"/>
    <mergeCell ref="C326:I326"/>
    <mergeCell ref="C318:I318"/>
    <mergeCell ref="C311:I311"/>
    <mergeCell ref="C312:I312"/>
    <mergeCell ref="C313:I313"/>
    <mergeCell ref="C314:I314"/>
    <mergeCell ref="C307:I307"/>
    <mergeCell ref="C308:I308"/>
    <mergeCell ref="C309:I309"/>
    <mergeCell ref="C310:I310"/>
    <mergeCell ref="C303:I303"/>
    <mergeCell ref="C304:I304"/>
    <mergeCell ref="C305:I305"/>
    <mergeCell ref="C306:I306"/>
    <mergeCell ref="C299:I299"/>
    <mergeCell ref="C300:I300"/>
    <mergeCell ref="C301:I301"/>
    <mergeCell ref="C302:I302"/>
    <mergeCell ref="B287:N287"/>
    <mergeCell ref="B288:N288"/>
    <mergeCell ref="C297:I297"/>
    <mergeCell ref="C298:I298"/>
    <mergeCell ref="C296:I296"/>
    <mergeCell ref="B290:N290"/>
    <mergeCell ref="B291:N291"/>
    <mergeCell ref="B289:N289"/>
    <mergeCell ref="B280:N280"/>
    <mergeCell ref="B283:N283"/>
    <mergeCell ref="B284:N284"/>
    <mergeCell ref="B281:N281"/>
    <mergeCell ref="B282:N282"/>
    <mergeCell ref="B285:N285"/>
    <mergeCell ref="B286:N286"/>
    <mergeCell ref="B253:E253"/>
    <mergeCell ref="B150:D150"/>
    <mergeCell ref="B262:E262"/>
    <mergeCell ref="B255:E255"/>
    <mergeCell ref="B260:E260"/>
    <mergeCell ref="B261:E261"/>
    <mergeCell ref="B257:E257"/>
    <mergeCell ref="B258:E258"/>
    <mergeCell ref="B254:E254"/>
    <mergeCell ref="B259:E259"/>
    <mergeCell ref="B144:D144"/>
    <mergeCell ref="B145:D145"/>
    <mergeCell ref="B151:D151"/>
    <mergeCell ref="B146:D146"/>
    <mergeCell ref="B147:D147"/>
    <mergeCell ref="B148:D148"/>
    <mergeCell ref="B149:D149"/>
    <mergeCell ref="B155:D155"/>
    <mergeCell ref="B127:D127"/>
    <mergeCell ref="B256:E256"/>
    <mergeCell ref="B128:D128"/>
    <mergeCell ref="B129:D129"/>
    <mergeCell ref="B130:D130"/>
    <mergeCell ref="B131:D131"/>
    <mergeCell ref="B136:D136"/>
    <mergeCell ref="B137:D137"/>
    <mergeCell ref="B138:D138"/>
    <mergeCell ref="B139:D139"/>
    <mergeCell ref="B106:D106"/>
    <mergeCell ref="B43:E43"/>
    <mergeCell ref="B44:E44"/>
    <mergeCell ref="D7:H7"/>
    <mergeCell ref="D13:G13"/>
    <mergeCell ref="D14:G14"/>
    <mergeCell ref="D8:E8"/>
    <mergeCell ref="B20:K20"/>
    <mergeCell ref="B23:L24"/>
    <mergeCell ref="D15:H17"/>
    <mergeCell ref="B113:D113"/>
    <mergeCell ref="B119:D119"/>
    <mergeCell ref="B126:D126"/>
    <mergeCell ref="B42:E42"/>
    <mergeCell ref="B112:D112"/>
    <mergeCell ref="B123:D123"/>
    <mergeCell ref="B124:D124"/>
    <mergeCell ref="B114:D114"/>
    <mergeCell ref="B115:D115"/>
    <mergeCell ref="B116:D116"/>
    <mergeCell ref="B107:D107"/>
    <mergeCell ref="B110:D110"/>
    <mergeCell ref="B111:D111"/>
    <mergeCell ref="B108:D108"/>
    <mergeCell ref="B109:D109"/>
    <mergeCell ref="O108:P108"/>
    <mergeCell ref="O109:P109"/>
    <mergeCell ref="B117:D117"/>
    <mergeCell ref="B118:D118"/>
    <mergeCell ref="O110:P110"/>
    <mergeCell ref="O112:P112"/>
    <mergeCell ref="I114:J114"/>
    <mergeCell ref="I115:J115"/>
    <mergeCell ref="I116:J116"/>
    <mergeCell ref="I117:J117"/>
    <mergeCell ref="B156:D156"/>
    <mergeCell ref="B157:D157"/>
    <mergeCell ref="B122:D122"/>
    <mergeCell ref="B120:D120"/>
    <mergeCell ref="B121:D121"/>
    <mergeCell ref="B134:D134"/>
    <mergeCell ref="B135:D135"/>
    <mergeCell ref="B132:D132"/>
    <mergeCell ref="B133:D133"/>
    <mergeCell ref="B125:D125"/>
    <mergeCell ref="B33:D33"/>
    <mergeCell ref="B34:D34"/>
    <mergeCell ref="B35:D35"/>
    <mergeCell ref="B36:D36"/>
    <mergeCell ref="B37:D37"/>
    <mergeCell ref="B38:D38"/>
    <mergeCell ref="B39:D39"/>
    <mergeCell ref="B40:E40"/>
    <mergeCell ref="B45:E45"/>
    <mergeCell ref="B46:E46"/>
    <mergeCell ref="B47:E47"/>
    <mergeCell ref="B48:E48"/>
    <mergeCell ref="B55:E55"/>
    <mergeCell ref="B56:E56"/>
    <mergeCell ref="B49:E49"/>
    <mergeCell ref="B50:E50"/>
    <mergeCell ref="B51:E51"/>
    <mergeCell ref="B52:E52"/>
    <mergeCell ref="B53:E53"/>
    <mergeCell ref="B54:E54"/>
    <mergeCell ref="B68:E68"/>
    <mergeCell ref="B61:E61"/>
    <mergeCell ref="B62:E62"/>
    <mergeCell ref="B63:E63"/>
    <mergeCell ref="B64:E64"/>
    <mergeCell ref="B65:E65"/>
    <mergeCell ref="B66:E66"/>
    <mergeCell ref="B67:E67"/>
    <mergeCell ref="B57:E57"/>
    <mergeCell ref="B58:E58"/>
    <mergeCell ref="B59:E59"/>
    <mergeCell ref="B60:E60"/>
    <mergeCell ref="S60:V60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58:V58"/>
    <mergeCell ref="S59:V59"/>
    <mergeCell ref="S33:V33"/>
    <mergeCell ref="S34:V34"/>
    <mergeCell ref="S35:V35"/>
    <mergeCell ref="S36:V36"/>
    <mergeCell ref="S49:V49"/>
    <mergeCell ref="S50:V50"/>
    <mergeCell ref="S51:V51"/>
    <mergeCell ref="S52:V52"/>
    <mergeCell ref="S37:V37"/>
    <mergeCell ref="S38:V38"/>
    <mergeCell ref="S39:V39"/>
    <mergeCell ref="B69:E69"/>
    <mergeCell ref="S53:V53"/>
    <mergeCell ref="S54:V54"/>
    <mergeCell ref="S55:V55"/>
    <mergeCell ref="S56:V56"/>
    <mergeCell ref="S65:V65"/>
    <mergeCell ref="S57:V57"/>
    <mergeCell ref="S69:V69"/>
    <mergeCell ref="S68:V68"/>
    <mergeCell ref="S61:V61"/>
    <mergeCell ref="S62:V62"/>
    <mergeCell ref="S63:V63"/>
    <mergeCell ref="S64:V64"/>
    <mergeCell ref="S66:V66"/>
    <mergeCell ref="S67:V67"/>
    <mergeCell ref="B169:D169"/>
    <mergeCell ref="B162:D162"/>
    <mergeCell ref="B163:D163"/>
    <mergeCell ref="B164:D164"/>
    <mergeCell ref="B165:D165"/>
    <mergeCell ref="B158:D158"/>
    <mergeCell ref="B159:D159"/>
    <mergeCell ref="B161:D161"/>
    <mergeCell ref="B168:D168"/>
    <mergeCell ref="B160:D160"/>
    <mergeCell ref="B174:D174"/>
    <mergeCell ref="B172:D172"/>
    <mergeCell ref="B173:D173"/>
    <mergeCell ref="O116:P116"/>
    <mergeCell ref="O117:P117"/>
    <mergeCell ref="O118:P118"/>
    <mergeCell ref="O119:P119"/>
    <mergeCell ref="O120:P120"/>
    <mergeCell ref="O121:P121"/>
    <mergeCell ref="O122:P122"/>
    <mergeCell ref="O106:P106"/>
    <mergeCell ref="O107:P107"/>
    <mergeCell ref="B170:D170"/>
    <mergeCell ref="B171:D171"/>
    <mergeCell ref="B166:D166"/>
    <mergeCell ref="B167:D167"/>
    <mergeCell ref="O111:P111"/>
    <mergeCell ref="O113:P113"/>
    <mergeCell ref="O114:P114"/>
    <mergeCell ref="O115:P115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7:P147"/>
    <mergeCell ref="O148:P148"/>
    <mergeCell ref="O141:P141"/>
    <mergeCell ref="O142:P142"/>
    <mergeCell ref="O143:P143"/>
    <mergeCell ref="O144:P144"/>
    <mergeCell ref="O151:P151"/>
    <mergeCell ref="Q106:R106"/>
    <mergeCell ref="Q107:R107"/>
    <mergeCell ref="Q108:R108"/>
    <mergeCell ref="Q109:R109"/>
    <mergeCell ref="Q110:R110"/>
    <mergeCell ref="Q111:R111"/>
    <mergeCell ref="Q112:R112"/>
    <mergeCell ref="O145:P145"/>
    <mergeCell ref="O146:P146"/>
    <mergeCell ref="Q113:R113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3:R123"/>
    <mergeCell ref="Q124:R124"/>
    <mergeCell ref="Q125:R125"/>
    <mergeCell ref="Q126:R126"/>
    <mergeCell ref="Q127:R127"/>
    <mergeCell ref="Q128:R128"/>
    <mergeCell ref="Q129:R129"/>
    <mergeCell ref="Q130:R130"/>
    <mergeCell ref="Q131:R131"/>
    <mergeCell ref="Q132:R132"/>
    <mergeCell ref="Q139:R139"/>
    <mergeCell ref="Q140:R140"/>
    <mergeCell ref="Q133:R133"/>
    <mergeCell ref="Q134:R134"/>
    <mergeCell ref="Q135:R135"/>
    <mergeCell ref="Q136:R136"/>
    <mergeCell ref="Q137:R137"/>
    <mergeCell ref="Q138:R138"/>
    <mergeCell ref="Q145:R145"/>
    <mergeCell ref="Q146:R146"/>
    <mergeCell ref="Q147:R147"/>
    <mergeCell ref="Q141:R141"/>
    <mergeCell ref="Q142:R142"/>
    <mergeCell ref="Q143:R143"/>
    <mergeCell ref="Q144:R144"/>
    <mergeCell ref="I110:J110"/>
    <mergeCell ref="I111:J111"/>
    <mergeCell ref="I112:J112"/>
    <mergeCell ref="I113:J113"/>
    <mergeCell ref="I106:J106"/>
    <mergeCell ref="I107:J107"/>
    <mergeCell ref="I108:J108"/>
    <mergeCell ref="I109:J109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9:J149"/>
    <mergeCell ref="I150:J150"/>
    <mergeCell ref="Q149:R149"/>
    <mergeCell ref="Q148:R148"/>
    <mergeCell ref="O149:P149"/>
    <mergeCell ref="O150:P150"/>
    <mergeCell ref="I151:J151"/>
    <mergeCell ref="I145:J145"/>
    <mergeCell ref="I146:J146"/>
    <mergeCell ref="I147:J147"/>
    <mergeCell ref="I148:J148"/>
    <mergeCell ref="U176:X176"/>
    <mergeCell ref="Q150:R150"/>
    <mergeCell ref="Q151:R151"/>
    <mergeCell ref="T150:V150"/>
    <mergeCell ref="V171:X171"/>
    <mergeCell ref="V172:X172"/>
    <mergeCell ref="T122:V122"/>
    <mergeCell ref="T114:V114"/>
    <mergeCell ref="U174:X174"/>
    <mergeCell ref="U175:X175"/>
    <mergeCell ref="T118:V118"/>
    <mergeCell ref="T119:V119"/>
    <mergeCell ref="T120:V120"/>
    <mergeCell ref="T121:V121"/>
    <mergeCell ref="T146:V146"/>
    <mergeCell ref="T147:V147"/>
    <mergeCell ref="T72:V72"/>
    <mergeCell ref="T73:V73"/>
    <mergeCell ref="T105:V105"/>
    <mergeCell ref="T123:V123"/>
    <mergeCell ref="T74:V74"/>
    <mergeCell ref="T75:V75"/>
    <mergeCell ref="T76:V76"/>
    <mergeCell ref="T77:V77"/>
    <mergeCell ref="T78:V78"/>
    <mergeCell ref="T79:V79"/>
    <mergeCell ref="T80:V80"/>
    <mergeCell ref="T81:V81"/>
    <mergeCell ref="T82:V82"/>
    <mergeCell ref="T83:V83"/>
    <mergeCell ref="T84:V84"/>
    <mergeCell ref="T85:V85"/>
    <mergeCell ref="T86:V86"/>
    <mergeCell ref="T87:V87"/>
    <mergeCell ref="T92:V92"/>
    <mergeCell ref="T107:V107"/>
    <mergeCell ref="T95:V95"/>
    <mergeCell ref="T100:V100"/>
    <mergeCell ref="T93:V93"/>
    <mergeCell ref="T94:V94"/>
    <mergeCell ref="T96:V96"/>
    <mergeCell ref="T97:V97"/>
    <mergeCell ref="T104:V104"/>
    <mergeCell ref="T99:V99"/>
    <mergeCell ref="T88:V88"/>
    <mergeCell ref="T89:V89"/>
    <mergeCell ref="T90:V90"/>
    <mergeCell ref="T91:V91"/>
    <mergeCell ref="T98:V98"/>
    <mergeCell ref="T112:V112"/>
    <mergeCell ref="T116:V116"/>
    <mergeCell ref="T117:V117"/>
    <mergeCell ref="T108:V108"/>
    <mergeCell ref="T109:V109"/>
    <mergeCell ref="T110:V110"/>
    <mergeCell ref="T106:V106"/>
    <mergeCell ref="T101:V101"/>
    <mergeCell ref="T102:V102"/>
    <mergeCell ref="T103:V103"/>
    <mergeCell ref="T111:V111"/>
    <mergeCell ref="T113:V113"/>
    <mergeCell ref="T133:V133"/>
    <mergeCell ref="T127:V127"/>
    <mergeCell ref="T128:V128"/>
    <mergeCell ref="T129:V129"/>
    <mergeCell ref="T124:V124"/>
    <mergeCell ref="T125:V125"/>
    <mergeCell ref="T126:V126"/>
    <mergeCell ref="T148:V148"/>
    <mergeCell ref="T151:V151"/>
    <mergeCell ref="T115:V115"/>
    <mergeCell ref="T144:V144"/>
    <mergeCell ref="T145:V145"/>
    <mergeCell ref="T130:V130"/>
    <mergeCell ref="T131:V131"/>
    <mergeCell ref="T134:V134"/>
    <mergeCell ref="T132:V132"/>
    <mergeCell ref="T149:V149"/>
    <mergeCell ref="H77:I77"/>
    <mergeCell ref="H78:I78"/>
    <mergeCell ref="H79:I79"/>
    <mergeCell ref="H80:I80"/>
    <mergeCell ref="H88:I88"/>
    <mergeCell ref="H89:I89"/>
    <mergeCell ref="H81:I81"/>
    <mergeCell ref="H85:I85"/>
    <mergeCell ref="H86:I86"/>
    <mergeCell ref="H87:I87"/>
    <mergeCell ref="H83:I83"/>
    <mergeCell ref="H84:I84"/>
    <mergeCell ref="H92:I92"/>
    <mergeCell ref="H93:I93"/>
    <mergeCell ref="H94:I94"/>
    <mergeCell ref="H95:I95"/>
    <mergeCell ref="H96:I96"/>
    <mergeCell ref="H97:I97"/>
    <mergeCell ref="H98:I98"/>
    <mergeCell ref="H99:I99"/>
    <mergeCell ref="H101:I101"/>
    <mergeCell ref="H102:I102"/>
    <mergeCell ref="H103:I103"/>
    <mergeCell ref="H100:I100"/>
    <mergeCell ref="Q80:R80"/>
    <mergeCell ref="Q81:R81"/>
    <mergeCell ref="Q74:R74"/>
    <mergeCell ref="Q75:R75"/>
    <mergeCell ref="Q76:R76"/>
    <mergeCell ref="Q77:R77"/>
    <mergeCell ref="Q78:R78"/>
    <mergeCell ref="Q79:R79"/>
    <mergeCell ref="Q84:R84"/>
    <mergeCell ref="Q85:R85"/>
    <mergeCell ref="Q86:R86"/>
    <mergeCell ref="Q87:R87"/>
    <mergeCell ref="Q93:R93"/>
    <mergeCell ref="Q94:R94"/>
    <mergeCell ref="Q95:R95"/>
    <mergeCell ref="Q88:R88"/>
    <mergeCell ref="Q96:R96"/>
    <mergeCell ref="Q97:R97"/>
    <mergeCell ref="Q98:R98"/>
    <mergeCell ref="Q99:R99"/>
    <mergeCell ref="Q82:R82"/>
    <mergeCell ref="T143:V143"/>
    <mergeCell ref="T137:V137"/>
    <mergeCell ref="Q73:R73"/>
    <mergeCell ref="T140:V140"/>
    <mergeCell ref="T141:V141"/>
    <mergeCell ref="T142:V142"/>
    <mergeCell ref="Q92:R92"/>
    <mergeCell ref="Q100:R100"/>
    <mergeCell ref="Q101:R101"/>
    <mergeCell ref="Q83:R83"/>
    <mergeCell ref="T138:V138"/>
    <mergeCell ref="T139:V139"/>
    <mergeCell ref="T135:V135"/>
    <mergeCell ref="T136:V136"/>
    <mergeCell ref="Q89:R89"/>
    <mergeCell ref="Q90:R90"/>
    <mergeCell ref="Q91:R91"/>
    <mergeCell ref="Q102:R102"/>
    <mergeCell ref="Q103:R103"/>
    <mergeCell ref="R27:S27"/>
    <mergeCell ref="R28:S28"/>
    <mergeCell ref="R29:S29"/>
    <mergeCell ref="R30:S30"/>
    <mergeCell ref="R23:S23"/>
    <mergeCell ref="R24:S24"/>
    <mergeCell ref="R25:S25"/>
    <mergeCell ref="R26:S26"/>
    <mergeCell ref="B265:D265"/>
    <mergeCell ref="B266:D266"/>
    <mergeCell ref="B267:D267"/>
    <mergeCell ref="B268:D268"/>
    <mergeCell ref="B276:D276"/>
    <mergeCell ref="B277:D277"/>
    <mergeCell ref="B272:D272"/>
    <mergeCell ref="B273:D273"/>
    <mergeCell ref="B274:D274"/>
    <mergeCell ref="B275:D275"/>
  </mergeCells>
  <printOptions gridLines="1" headings="1"/>
  <pageMargins left="0.25" right="0.25" top="1" bottom="1" header="0.5" footer="0.5"/>
  <pageSetup orientation="portrait" pageOrder="overThenDown" r:id="rId1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7"/>
  <dimension ref="A1:AA96"/>
  <sheetViews>
    <sheetView zoomScale="75" zoomScaleNormal="75" workbookViewId="0" topLeftCell="P68">
      <selection activeCell="Y90" sqref="Y90"/>
    </sheetView>
  </sheetViews>
  <sheetFormatPr defaultColWidth="9.33203125" defaultRowHeight="12.75"/>
  <cols>
    <col min="1" max="1" width="3.83203125" style="0" customWidth="1"/>
    <col min="2" max="2" width="11.66015625" style="0" bestFit="1" customWidth="1"/>
    <col min="3" max="3" width="13.83203125" style="461" customWidth="1"/>
    <col min="4" max="26" width="13.83203125" style="0" customWidth="1"/>
    <col min="28" max="28" width="9.66015625" style="0" bestFit="1" customWidth="1"/>
    <col min="30" max="30" width="9.66015625" style="0" bestFit="1" customWidth="1"/>
  </cols>
  <sheetData>
    <row r="1" spans="5:7" ht="12.75">
      <c r="E1" s="74"/>
      <c r="F1" s="74"/>
      <c r="G1" s="74"/>
    </row>
    <row r="2" spans="2:26" ht="12.75">
      <c r="B2" s="237" t="s">
        <v>2418</v>
      </c>
      <c r="C2" s="462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7"/>
    </row>
    <row r="3" spans="2:26" ht="12.75">
      <c r="B3" s="377" t="s">
        <v>2447</v>
      </c>
      <c r="C3" s="47" t="s">
        <v>1394</v>
      </c>
      <c r="D3" s="58" t="s">
        <v>2598</v>
      </c>
      <c r="E3" s="58" t="s">
        <v>2599</v>
      </c>
      <c r="F3" s="360" t="s">
        <v>905</v>
      </c>
      <c r="G3" s="58" t="s">
        <v>2600</v>
      </c>
      <c r="H3" s="58" t="s">
        <v>2601</v>
      </c>
      <c r="I3" s="58" t="s">
        <v>2602</v>
      </c>
      <c r="J3" s="360" t="s">
        <v>913</v>
      </c>
      <c r="K3" s="58" t="s">
        <v>2603</v>
      </c>
      <c r="L3" s="58" t="s">
        <v>1963</v>
      </c>
      <c r="M3" s="58" t="s">
        <v>903</v>
      </c>
      <c r="N3" s="58" t="s">
        <v>2604</v>
      </c>
      <c r="O3" s="58" t="s">
        <v>2382</v>
      </c>
      <c r="P3" s="58" t="s">
        <v>2381</v>
      </c>
      <c r="Q3" s="58" t="s">
        <v>2383</v>
      </c>
      <c r="R3" s="58" t="s">
        <v>2004</v>
      </c>
      <c r="S3" s="58" t="s">
        <v>2605</v>
      </c>
      <c r="T3" s="58" t="s">
        <v>2606</v>
      </c>
      <c r="U3" s="58" t="s">
        <v>2607</v>
      </c>
      <c r="V3" s="65" t="s">
        <v>900</v>
      </c>
      <c r="W3" s="65" t="s">
        <v>1167</v>
      </c>
      <c r="X3" s="65" t="s">
        <v>898</v>
      </c>
      <c r="Y3" s="63" t="s">
        <v>2608</v>
      </c>
      <c r="Z3" s="63" t="s">
        <v>1940</v>
      </c>
    </row>
    <row r="4" spans="2:26" ht="12.75">
      <c r="B4" s="73" t="s">
        <v>2545</v>
      </c>
      <c r="C4" s="74" t="s">
        <v>1905</v>
      </c>
      <c r="D4" s="74" t="s">
        <v>1400</v>
      </c>
      <c r="E4" s="74" t="s">
        <v>1401</v>
      </c>
      <c r="F4" s="74" t="s">
        <v>1911</v>
      </c>
      <c r="G4" s="74" t="s">
        <v>1401</v>
      </c>
      <c r="H4" s="74" t="s">
        <v>1402</v>
      </c>
      <c r="I4" s="74" t="s">
        <v>1419</v>
      </c>
      <c r="J4" s="74" t="s">
        <v>1947</v>
      </c>
      <c r="K4" s="74" t="s">
        <v>1403</v>
      </c>
      <c r="L4" s="74" t="s">
        <v>1964</v>
      </c>
      <c r="M4" s="74" t="s">
        <v>1991</v>
      </c>
      <c r="N4" s="74" t="s">
        <v>1404</v>
      </c>
      <c r="O4" s="75" t="s">
        <v>1405</v>
      </c>
      <c r="P4" s="74" t="s">
        <v>1406</v>
      </c>
      <c r="Q4" s="74" t="s">
        <v>1407</v>
      </c>
      <c r="R4" s="74" t="s">
        <v>2005</v>
      </c>
      <c r="S4" s="74" t="s">
        <v>1408</v>
      </c>
      <c r="T4" s="74" t="s">
        <v>1409</v>
      </c>
      <c r="U4" s="74" t="s">
        <v>1410</v>
      </c>
      <c r="V4" s="74" t="s">
        <v>1920</v>
      </c>
      <c r="W4" s="74" t="s">
        <v>1931</v>
      </c>
      <c r="X4" s="74" t="s">
        <v>1932</v>
      </c>
      <c r="Y4" s="75" t="s">
        <v>1411</v>
      </c>
      <c r="Z4" s="75" t="s">
        <v>1941</v>
      </c>
    </row>
    <row r="5" spans="2:26" ht="12.75">
      <c r="B5" s="68"/>
      <c r="C5" s="74" t="s">
        <v>2614</v>
      </c>
      <c r="D5" s="74" t="s">
        <v>2609</v>
      </c>
      <c r="E5" s="74" t="s">
        <v>1412</v>
      </c>
      <c r="F5" s="74" t="s">
        <v>1912</v>
      </c>
      <c r="G5" s="74" t="s">
        <v>2610</v>
      </c>
      <c r="H5" s="74" t="s">
        <v>1312</v>
      </c>
      <c r="I5" s="74" t="s">
        <v>1312</v>
      </c>
      <c r="J5" s="74" t="s">
        <v>1948</v>
      </c>
      <c r="K5" s="74" t="s">
        <v>1312</v>
      </c>
      <c r="L5" s="74" t="s">
        <v>1279</v>
      </c>
      <c r="M5" s="74" t="s">
        <v>2588</v>
      </c>
      <c r="N5" s="74" t="s">
        <v>1279</v>
      </c>
      <c r="O5" s="75" t="s">
        <v>1413</v>
      </c>
      <c r="P5" s="74" t="s">
        <v>2609</v>
      </c>
      <c r="Q5" s="74" t="s">
        <v>2612</v>
      </c>
      <c r="R5" s="74" t="s">
        <v>1058</v>
      </c>
      <c r="S5" s="74" t="s">
        <v>2613</v>
      </c>
      <c r="T5" s="74" t="s">
        <v>2614</v>
      </c>
      <c r="U5" s="74" t="s">
        <v>2609</v>
      </c>
      <c r="V5" s="74" t="s">
        <v>1279</v>
      </c>
      <c r="W5" s="74" t="s">
        <v>1414</v>
      </c>
      <c r="X5" s="74" t="s">
        <v>2618</v>
      </c>
      <c r="Y5" s="75" t="s">
        <v>1317</v>
      </c>
      <c r="Z5" s="75" t="s">
        <v>2609</v>
      </c>
    </row>
    <row r="6" spans="2:26" ht="12.75">
      <c r="B6" s="68"/>
      <c r="C6" s="74" t="s">
        <v>1413</v>
      </c>
      <c r="D6" s="74" t="s">
        <v>1415</v>
      </c>
      <c r="E6" s="74" t="s">
        <v>660</v>
      </c>
      <c r="F6" s="74" t="s">
        <v>665</v>
      </c>
      <c r="G6" s="74" t="s">
        <v>2609</v>
      </c>
      <c r="H6" s="74" t="s">
        <v>1275</v>
      </c>
      <c r="I6" s="74" t="s">
        <v>1275</v>
      </c>
      <c r="J6" s="74" t="s">
        <v>1058</v>
      </c>
      <c r="K6" s="74" t="s">
        <v>1275</v>
      </c>
      <c r="L6" s="74" t="s">
        <v>2622</v>
      </c>
      <c r="M6" s="74" t="s">
        <v>2622</v>
      </c>
      <c r="N6" s="74" t="s">
        <v>1276</v>
      </c>
      <c r="O6" s="75" t="s">
        <v>2609</v>
      </c>
      <c r="P6" s="74" t="s">
        <v>664</v>
      </c>
      <c r="Q6" s="74" t="s">
        <v>1277</v>
      </c>
      <c r="R6" s="74" t="s">
        <v>2006</v>
      </c>
      <c r="S6" s="74" t="s">
        <v>1278</v>
      </c>
      <c r="T6" s="74" t="s">
        <v>2618</v>
      </c>
      <c r="U6" s="74" t="s">
        <v>661</v>
      </c>
      <c r="V6" s="74" t="s">
        <v>1921</v>
      </c>
      <c r="W6" s="74" t="s">
        <v>1279</v>
      </c>
      <c r="X6" s="74" t="s">
        <v>1279</v>
      </c>
      <c r="Y6" s="75" t="s">
        <v>1275</v>
      </c>
      <c r="Z6" s="75" t="s">
        <v>1058</v>
      </c>
    </row>
    <row r="7" spans="2:26" ht="12.75">
      <c r="B7" s="68"/>
      <c r="C7" s="74" t="s">
        <v>1279</v>
      </c>
      <c r="D7" s="74" t="s">
        <v>1280</v>
      </c>
      <c r="E7" s="74" t="s">
        <v>1281</v>
      </c>
      <c r="F7" s="74" t="s">
        <v>1913</v>
      </c>
      <c r="G7" s="74" t="s">
        <v>662</v>
      </c>
      <c r="H7" s="74" t="s">
        <v>1282</v>
      </c>
      <c r="I7" s="74" t="s">
        <v>1282</v>
      </c>
      <c r="J7" s="74" t="s">
        <v>1949</v>
      </c>
      <c r="K7" s="74" t="s">
        <v>1282</v>
      </c>
      <c r="L7" s="74" t="s">
        <v>1906</v>
      </c>
      <c r="M7" s="74" t="s">
        <v>1992</v>
      </c>
      <c r="N7" s="74" t="s">
        <v>2629</v>
      </c>
      <c r="O7" s="75" t="s">
        <v>663</v>
      </c>
      <c r="P7" s="74" t="s">
        <v>665</v>
      </c>
      <c r="Q7" s="74" t="s">
        <v>2629</v>
      </c>
      <c r="R7" s="74" t="s">
        <v>1364</v>
      </c>
      <c r="S7" s="74" t="s">
        <v>2625</v>
      </c>
      <c r="T7" s="74" t="s">
        <v>665</v>
      </c>
      <c r="U7" s="74" t="s">
        <v>2629</v>
      </c>
      <c r="V7" s="74" t="s">
        <v>1906</v>
      </c>
      <c r="W7" s="74" t="s">
        <v>1058</v>
      </c>
      <c r="X7" s="74" t="s">
        <v>1058</v>
      </c>
      <c r="Y7" s="75" t="s">
        <v>1282</v>
      </c>
      <c r="Z7" s="75" t="s">
        <v>1062</v>
      </c>
    </row>
    <row r="8" spans="2:26" ht="12.75">
      <c r="B8" s="68"/>
      <c r="C8" s="74" t="s">
        <v>1906</v>
      </c>
      <c r="D8" s="74" t="s">
        <v>1283</v>
      </c>
      <c r="E8" s="74" t="s">
        <v>1284</v>
      </c>
      <c r="F8" s="74" t="s">
        <v>1079</v>
      </c>
      <c r="G8" s="74" t="s">
        <v>2629</v>
      </c>
      <c r="H8" s="74" t="s">
        <v>2632</v>
      </c>
      <c r="I8" s="74" t="s">
        <v>2632</v>
      </c>
      <c r="J8" s="74" t="s">
        <v>1950</v>
      </c>
      <c r="K8" s="74" t="s">
        <v>2632</v>
      </c>
      <c r="L8" s="74" t="s">
        <v>2634</v>
      </c>
      <c r="M8" s="74" t="s">
        <v>666</v>
      </c>
      <c r="N8" s="74" t="s">
        <v>2633</v>
      </c>
      <c r="O8" s="75" t="s">
        <v>1285</v>
      </c>
      <c r="P8" s="74" t="s">
        <v>2634</v>
      </c>
      <c r="Q8" s="74" t="s">
        <v>1286</v>
      </c>
      <c r="R8" s="74" t="s">
        <v>2637</v>
      </c>
      <c r="S8" s="74" t="s">
        <v>2629</v>
      </c>
      <c r="T8" s="74" t="s">
        <v>666</v>
      </c>
      <c r="U8" s="74" t="s">
        <v>2637</v>
      </c>
      <c r="V8" s="74" t="s">
        <v>1079</v>
      </c>
      <c r="W8" s="74" t="s">
        <v>1287</v>
      </c>
      <c r="X8" s="74" t="s">
        <v>1062</v>
      </c>
      <c r="Y8" s="74" t="s">
        <v>2632</v>
      </c>
      <c r="Z8" s="74" t="s">
        <v>1287</v>
      </c>
    </row>
    <row r="9" spans="2:26" ht="12.75">
      <c r="B9" s="68"/>
      <c r="C9" s="74" t="s">
        <v>2636</v>
      </c>
      <c r="D9" s="74" t="s">
        <v>2638</v>
      </c>
      <c r="E9" s="74" t="s">
        <v>2636</v>
      </c>
      <c r="F9" s="74" t="s">
        <v>2636</v>
      </c>
      <c r="G9" s="74" t="s">
        <v>1288</v>
      </c>
      <c r="H9" s="74" t="s">
        <v>2640</v>
      </c>
      <c r="I9" s="74" t="s">
        <v>2640</v>
      </c>
      <c r="J9" s="74" t="s">
        <v>1951</v>
      </c>
      <c r="K9" s="74" t="s">
        <v>2640</v>
      </c>
      <c r="L9" s="74" t="s">
        <v>666</v>
      </c>
      <c r="M9" s="74" t="s">
        <v>2641</v>
      </c>
      <c r="N9" s="74" t="s">
        <v>1284</v>
      </c>
      <c r="O9" s="75" t="s">
        <v>665</v>
      </c>
      <c r="P9" s="74" t="s">
        <v>2641</v>
      </c>
      <c r="Q9" s="74" t="s">
        <v>1287</v>
      </c>
      <c r="R9" s="74" t="s">
        <v>1291</v>
      </c>
      <c r="S9" s="74" t="s">
        <v>1289</v>
      </c>
      <c r="T9" s="74" t="s">
        <v>1290</v>
      </c>
      <c r="U9" s="74" t="s">
        <v>1291</v>
      </c>
      <c r="V9" s="74" t="s">
        <v>2636</v>
      </c>
      <c r="W9" s="74" t="s">
        <v>1284</v>
      </c>
      <c r="X9" s="74" t="s">
        <v>1287</v>
      </c>
      <c r="Y9" s="74" t="s">
        <v>2640</v>
      </c>
      <c r="Z9" s="74" t="s">
        <v>1284</v>
      </c>
    </row>
    <row r="10" spans="2:26" ht="12.75">
      <c r="B10" s="68"/>
      <c r="C10" s="74"/>
      <c r="D10" s="76" t="s">
        <v>2584</v>
      </c>
      <c r="E10" s="76" t="s">
        <v>2584</v>
      </c>
      <c r="F10" s="76"/>
      <c r="G10" s="76" t="s">
        <v>2584</v>
      </c>
      <c r="H10" s="74" t="s">
        <v>1292</v>
      </c>
      <c r="I10" s="74" t="s">
        <v>1902</v>
      </c>
      <c r="J10" s="74"/>
      <c r="K10" s="74" t="s">
        <v>1293</v>
      </c>
      <c r="L10" s="74"/>
      <c r="M10" s="74"/>
      <c r="N10" s="76" t="s">
        <v>2584</v>
      </c>
      <c r="O10" s="76" t="s">
        <v>2584</v>
      </c>
      <c r="P10" s="76" t="s">
        <v>2584</v>
      </c>
      <c r="Q10" s="74" t="s">
        <v>1294</v>
      </c>
      <c r="R10" s="74"/>
      <c r="S10" s="76" t="s">
        <v>2584</v>
      </c>
      <c r="T10" s="76" t="s">
        <v>2584</v>
      </c>
      <c r="U10" s="76" t="s">
        <v>2584</v>
      </c>
      <c r="V10" s="76"/>
      <c r="W10" s="76" t="s">
        <v>2584</v>
      </c>
      <c r="X10" s="76"/>
      <c r="Y10" s="74" t="s">
        <v>1295</v>
      </c>
      <c r="Z10" s="74"/>
    </row>
    <row r="11" spans="2:26" ht="12.75">
      <c r="B11" s="77" t="s">
        <v>2646</v>
      </c>
      <c r="C11" s="78" t="s">
        <v>1296</v>
      </c>
      <c r="D11" s="78" t="s">
        <v>1296</v>
      </c>
      <c r="E11" s="78" t="s">
        <v>1297</v>
      </c>
      <c r="F11" s="78" t="s">
        <v>1296</v>
      </c>
      <c r="G11" s="78" t="s">
        <v>1297</v>
      </c>
      <c r="H11" s="78" t="s">
        <v>1298</v>
      </c>
      <c r="I11" s="78" t="s">
        <v>1298</v>
      </c>
      <c r="J11" s="78" t="s">
        <v>1297</v>
      </c>
      <c r="K11" s="78" t="s">
        <v>1298</v>
      </c>
      <c r="L11" s="78" t="s">
        <v>1301</v>
      </c>
      <c r="M11" s="78" t="s">
        <v>1296</v>
      </c>
      <c r="N11" s="78" t="s">
        <v>1296</v>
      </c>
      <c r="O11" s="79" t="s">
        <v>1299</v>
      </c>
      <c r="P11" s="78" t="s">
        <v>1297</v>
      </c>
      <c r="Q11" s="78" t="s">
        <v>1300</v>
      </c>
      <c r="R11" s="78" t="s">
        <v>1296</v>
      </c>
      <c r="S11" s="78" t="s">
        <v>1296</v>
      </c>
      <c r="T11" s="78" t="s">
        <v>1301</v>
      </c>
      <c r="U11" s="78" t="s">
        <v>1296</v>
      </c>
      <c r="V11" s="78" t="s">
        <v>1301</v>
      </c>
      <c r="W11" s="78" t="s">
        <v>1296</v>
      </c>
      <c r="X11" s="78" t="s">
        <v>1296</v>
      </c>
      <c r="Y11" s="78" t="s">
        <v>1298</v>
      </c>
      <c r="Z11" s="78" t="s">
        <v>1942</v>
      </c>
    </row>
    <row r="12" spans="2:26" ht="12.75">
      <c r="B12" s="68"/>
      <c r="C12" s="74" t="s">
        <v>668</v>
      </c>
      <c r="D12" s="74" t="s">
        <v>2647</v>
      </c>
      <c r="E12" s="74" t="s">
        <v>1302</v>
      </c>
      <c r="F12" s="74" t="s">
        <v>2614</v>
      </c>
      <c r="G12" s="74" t="s">
        <v>667</v>
      </c>
      <c r="H12" s="74" t="s">
        <v>1303</v>
      </c>
      <c r="I12" s="74" t="s">
        <v>1304</v>
      </c>
      <c r="J12" s="74" t="s">
        <v>1952</v>
      </c>
      <c r="K12" s="74" t="s">
        <v>1305</v>
      </c>
      <c r="L12" s="74" t="s">
        <v>1308</v>
      </c>
      <c r="M12" s="74" t="s">
        <v>2660</v>
      </c>
      <c r="N12" s="74" t="s">
        <v>2623</v>
      </c>
      <c r="O12" s="75" t="s">
        <v>668</v>
      </c>
      <c r="P12" s="74" t="s">
        <v>1306</v>
      </c>
      <c r="Q12" s="74" t="s">
        <v>669</v>
      </c>
      <c r="R12" s="74" t="s">
        <v>2007</v>
      </c>
      <c r="S12" s="74" t="s">
        <v>1307</v>
      </c>
      <c r="T12" s="74" t="s">
        <v>1308</v>
      </c>
      <c r="U12" s="74" t="s">
        <v>670</v>
      </c>
      <c r="V12" s="74" t="s">
        <v>2656</v>
      </c>
      <c r="W12" s="74" t="s">
        <v>1062</v>
      </c>
      <c r="X12" s="74" t="s">
        <v>1414</v>
      </c>
      <c r="Y12" s="75" t="s">
        <v>1309</v>
      </c>
      <c r="Z12" s="75" t="s">
        <v>1302</v>
      </c>
    </row>
    <row r="13" spans="2:26" ht="12.75">
      <c r="B13" s="68"/>
      <c r="C13" s="74" t="s">
        <v>924</v>
      </c>
      <c r="D13" s="74" t="s">
        <v>2659</v>
      </c>
      <c r="E13" s="74" t="s">
        <v>1310</v>
      </c>
      <c r="F13" s="74" t="s">
        <v>1914</v>
      </c>
      <c r="G13" s="74" t="s">
        <v>1311</v>
      </c>
      <c r="H13" s="74" t="s">
        <v>2662</v>
      </c>
      <c r="I13" s="74" t="s">
        <v>2662</v>
      </c>
      <c r="J13" s="74" t="s">
        <v>2636</v>
      </c>
      <c r="K13" s="74" t="s">
        <v>2663</v>
      </c>
      <c r="L13" s="74" t="s">
        <v>2664</v>
      </c>
      <c r="M13" s="74" t="s">
        <v>2628</v>
      </c>
      <c r="N13" s="74" t="s">
        <v>1312</v>
      </c>
      <c r="O13" s="75" t="s">
        <v>1313</v>
      </c>
      <c r="P13" s="74" t="s">
        <v>2659</v>
      </c>
      <c r="Q13" s="76" t="s">
        <v>2584</v>
      </c>
      <c r="R13" s="74" t="s">
        <v>671</v>
      </c>
      <c r="S13" s="74" t="s">
        <v>671</v>
      </c>
      <c r="T13" s="74" t="s">
        <v>2659</v>
      </c>
      <c r="U13" s="74" t="s">
        <v>1312</v>
      </c>
      <c r="V13" s="74" t="s">
        <v>2634</v>
      </c>
      <c r="W13" s="74" t="s">
        <v>2665</v>
      </c>
      <c r="X13" s="74" t="s">
        <v>2656</v>
      </c>
      <c r="Y13" s="74" t="s">
        <v>2662</v>
      </c>
      <c r="Z13" s="74" t="s">
        <v>1276</v>
      </c>
    </row>
    <row r="14" spans="2:26" ht="12.75">
      <c r="B14" s="77" t="s">
        <v>2666</v>
      </c>
      <c r="C14" s="78" t="s">
        <v>2653</v>
      </c>
      <c r="D14" s="78" t="s">
        <v>672</v>
      </c>
      <c r="E14" s="78" t="s">
        <v>673</v>
      </c>
      <c r="F14" s="78" t="s">
        <v>1915</v>
      </c>
      <c r="G14" s="78" t="s">
        <v>1314</v>
      </c>
      <c r="H14" s="78" t="s">
        <v>1315</v>
      </c>
      <c r="I14" s="78" t="s">
        <v>674</v>
      </c>
      <c r="J14" s="78" t="s">
        <v>1953</v>
      </c>
      <c r="K14" s="78" t="s">
        <v>2662</v>
      </c>
      <c r="L14" s="78" t="s">
        <v>1341</v>
      </c>
      <c r="M14" s="78" t="s">
        <v>2679</v>
      </c>
      <c r="N14" s="78" t="s">
        <v>1305</v>
      </c>
      <c r="O14" s="79" t="s">
        <v>2672</v>
      </c>
      <c r="P14" s="78" t="s">
        <v>2673</v>
      </c>
      <c r="Q14" s="78" t="s">
        <v>1279</v>
      </c>
      <c r="R14" s="78" t="s">
        <v>2588</v>
      </c>
      <c r="S14" s="78" t="s">
        <v>1316</v>
      </c>
      <c r="T14" s="78" t="s">
        <v>1279</v>
      </c>
      <c r="U14" s="78" t="s">
        <v>675</v>
      </c>
      <c r="V14" s="78" t="s">
        <v>2683</v>
      </c>
      <c r="W14" s="78" t="s">
        <v>1418</v>
      </c>
      <c r="X14" s="78" t="s">
        <v>2690</v>
      </c>
      <c r="Y14" s="79" t="s">
        <v>676</v>
      </c>
      <c r="Z14" s="79" t="s">
        <v>673</v>
      </c>
    </row>
    <row r="15" spans="2:26" ht="12.75">
      <c r="B15" s="68"/>
      <c r="C15" s="74" t="s">
        <v>1907</v>
      </c>
      <c r="D15" s="74" t="s">
        <v>2641</v>
      </c>
      <c r="E15" s="74" t="s">
        <v>677</v>
      </c>
      <c r="F15" s="74" t="s">
        <v>670</v>
      </c>
      <c r="G15" s="74" t="s">
        <v>2678</v>
      </c>
      <c r="H15" s="74" t="s">
        <v>678</v>
      </c>
      <c r="I15" s="74" t="s">
        <v>2665</v>
      </c>
      <c r="J15" s="74" t="s">
        <v>1954</v>
      </c>
      <c r="K15" s="74" t="s">
        <v>2634</v>
      </c>
      <c r="L15" s="74" t="s">
        <v>1079</v>
      </c>
      <c r="M15" s="74" t="s">
        <v>2672</v>
      </c>
      <c r="N15" s="74" t="s">
        <v>2647</v>
      </c>
      <c r="O15" s="75" t="s">
        <v>2680</v>
      </c>
      <c r="P15" s="74" t="s">
        <v>2626</v>
      </c>
      <c r="Q15" s="74" t="s">
        <v>679</v>
      </c>
      <c r="R15" s="74" t="s">
        <v>2676</v>
      </c>
      <c r="S15" s="74" t="s">
        <v>1317</v>
      </c>
      <c r="T15" s="74" t="s">
        <v>2682</v>
      </c>
      <c r="U15" s="74" t="s">
        <v>2683</v>
      </c>
      <c r="V15" s="74" t="s">
        <v>2643</v>
      </c>
      <c r="W15" s="74" t="s">
        <v>2647</v>
      </c>
      <c r="X15" s="74" t="s">
        <v>924</v>
      </c>
      <c r="Y15" s="75" t="s">
        <v>680</v>
      </c>
      <c r="Z15" s="75" t="s">
        <v>2647</v>
      </c>
    </row>
    <row r="16" spans="2:26" ht="12.75">
      <c r="B16" s="77" t="s">
        <v>2685</v>
      </c>
      <c r="C16" s="78" t="s">
        <v>1908</v>
      </c>
      <c r="D16" s="78" t="s">
        <v>2629</v>
      </c>
      <c r="E16" s="78" t="s">
        <v>1318</v>
      </c>
      <c r="F16" s="78" t="s">
        <v>2630</v>
      </c>
      <c r="G16" s="78" t="s">
        <v>1319</v>
      </c>
      <c r="H16" s="78" t="s">
        <v>681</v>
      </c>
      <c r="I16" s="78" t="s">
        <v>1320</v>
      </c>
      <c r="J16" s="78" t="s">
        <v>910</v>
      </c>
      <c r="K16" s="78" t="s">
        <v>2689</v>
      </c>
      <c r="L16" s="78" t="s">
        <v>2628</v>
      </c>
      <c r="M16" s="78" t="s">
        <v>2643</v>
      </c>
      <c r="N16" s="78" t="s">
        <v>2653</v>
      </c>
      <c r="O16" s="79" t="s">
        <v>1321</v>
      </c>
      <c r="P16" s="78" t="s">
        <v>1322</v>
      </c>
      <c r="Q16" s="78" t="s">
        <v>1323</v>
      </c>
      <c r="R16" s="78" t="s">
        <v>680</v>
      </c>
      <c r="S16" s="78" t="s">
        <v>2634</v>
      </c>
      <c r="T16" s="78" t="s">
        <v>1324</v>
      </c>
      <c r="U16" s="78" t="s">
        <v>2665</v>
      </c>
      <c r="V16" s="78" t="s">
        <v>1922</v>
      </c>
      <c r="W16" s="78" t="s">
        <v>2667</v>
      </c>
      <c r="X16" s="78" t="s">
        <v>1933</v>
      </c>
      <c r="Y16" s="79" t="s">
        <v>1325</v>
      </c>
      <c r="Z16" s="79" t="s">
        <v>1943</v>
      </c>
    </row>
    <row r="17" spans="2:26" ht="12.75">
      <c r="B17" s="68"/>
      <c r="C17" s="74" t="s">
        <v>1079</v>
      </c>
      <c r="D17" s="74" t="s">
        <v>1326</v>
      </c>
      <c r="E17" s="74" t="s">
        <v>1327</v>
      </c>
      <c r="F17" s="74" t="s">
        <v>1916</v>
      </c>
      <c r="G17" s="74" t="s">
        <v>1328</v>
      </c>
      <c r="H17" s="74" t="s">
        <v>2689</v>
      </c>
      <c r="I17" s="74" t="s">
        <v>2689</v>
      </c>
      <c r="J17" s="74" t="s">
        <v>1955</v>
      </c>
      <c r="K17" s="74" t="s">
        <v>2692</v>
      </c>
      <c r="L17" s="74" t="s">
        <v>1965</v>
      </c>
      <c r="M17" s="74" t="s">
        <v>1993</v>
      </c>
      <c r="N17" s="74" t="s">
        <v>1329</v>
      </c>
      <c r="O17" s="75" t="s">
        <v>2659</v>
      </c>
      <c r="P17" s="74" t="s">
        <v>2693</v>
      </c>
      <c r="Q17" s="74" t="s">
        <v>1417</v>
      </c>
      <c r="R17" s="74" t="s">
        <v>2008</v>
      </c>
      <c r="S17" s="74" t="s">
        <v>1330</v>
      </c>
      <c r="T17" s="74" t="s">
        <v>1331</v>
      </c>
      <c r="U17" s="74" t="s">
        <v>1332</v>
      </c>
      <c r="V17" s="74" t="s">
        <v>171</v>
      </c>
      <c r="W17" s="74" t="s">
        <v>1333</v>
      </c>
      <c r="X17" s="74" t="s">
        <v>1284</v>
      </c>
      <c r="Y17" s="75" t="s">
        <v>1305</v>
      </c>
      <c r="Z17" s="75" t="s">
        <v>1079</v>
      </c>
    </row>
    <row r="18" spans="2:26" ht="12.75">
      <c r="B18" s="77" t="s">
        <v>2694</v>
      </c>
      <c r="C18" s="78" t="s">
        <v>1909</v>
      </c>
      <c r="D18" s="78" t="s">
        <v>2625</v>
      </c>
      <c r="E18" s="78" t="s">
        <v>2695</v>
      </c>
      <c r="F18" s="78" t="s">
        <v>1</v>
      </c>
      <c r="G18" s="78" t="s">
        <v>682</v>
      </c>
      <c r="H18" s="78" t="s">
        <v>1334</v>
      </c>
      <c r="I18" s="78" t="s">
        <v>2656</v>
      </c>
      <c r="J18" s="78" t="s">
        <v>92</v>
      </c>
      <c r="K18" s="78" t="s">
        <v>2698</v>
      </c>
      <c r="L18" s="78" t="s">
        <v>1966</v>
      </c>
      <c r="M18" s="78" t="s">
        <v>683</v>
      </c>
      <c r="N18" s="78" t="s">
        <v>2654</v>
      </c>
      <c r="O18" s="79" t="s">
        <v>683</v>
      </c>
      <c r="P18" s="78" t="s">
        <v>684</v>
      </c>
      <c r="Q18" s="78" t="s">
        <v>1335</v>
      </c>
      <c r="R18" s="78" t="s">
        <v>2674</v>
      </c>
      <c r="S18" s="78" t="s">
        <v>1336</v>
      </c>
      <c r="T18" s="78" t="s">
        <v>1337</v>
      </c>
      <c r="U18" s="78" t="s">
        <v>685</v>
      </c>
      <c r="V18" s="78" t="s">
        <v>911</v>
      </c>
      <c r="W18" s="78" t="s">
        <v>2654</v>
      </c>
      <c r="X18" s="78" t="s">
        <v>2699</v>
      </c>
      <c r="Y18" s="79" t="s">
        <v>4</v>
      </c>
      <c r="Z18" s="79" t="s">
        <v>2618</v>
      </c>
    </row>
    <row r="19" spans="2:26" ht="12.75">
      <c r="B19" s="68"/>
      <c r="C19" s="74" t="s">
        <v>684</v>
      </c>
      <c r="D19" s="74" t="s">
        <v>1338</v>
      </c>
      <c r="E19" s="74" t="s">
        <v>1420</v>
      </c>
      <c r="F19" s="74" t="s">
        <v>909</v>
      </c>
      <c r="G19" s="74" t="s">
        <v>1339</v>
      </c>
      <c r="H19" s="74" t="s">
        <v>2692</v>
      </c>
      <c r="I19" s="74" t="s">
        <v>2692</v>
      </c>
      <c r="J19" s="74" t="s">
        <v>2624</v>
      </c>
      <c r="K19" s="74" t="s">
        <v>1340</v>
      </c>
      <c r="L19" s="74" t="s">
        <v>1337</v>
      </c>
      <c r="M19" s="74" t="s">
        <v>2653</v>
      </c>
      <c r="N19" s="74" t="s">
        <v>1417</v>
      </c>
      <c r="O19" s="75" t="s">
        <v>2681</v>
      </c>
      <c r="P19" s="74" t="s">
        <v>9</v>
      </c>
      <c r="Q19" s="74" t="s">
        <v>10</v>
      </c>
      <c r="R19" s="74" t="s">
        <v>1309</v>
      </c>
      <c r="S19" s="74" t="s">
        <v>2659</v>
      </c>
      <c r="T19" s="74" t="s">
        <v>1341</v>
      </c>
      <c r="U19" s="74" t="s">
        <v>1342</v>
      </c>
      <c r="V19" s="74" t="s">
        <v>1923</v>
      </c>
      <c r="W19" s="74" t="s">
        <v>1417</v>
      </c>
      <c r="X19" s="74" t="s">
        <v>1418</v>
      </c>
      <c r="Y19" s="75" t="s">
        <v>2692</v>
      </c>
      <c r="Z19" s="75" t="s">
        <v>2616</v>
      </c>
    </row>
    <row r="20" spans="2:26" ht="12.75">
      <c r="B20" s="77" t="s">
        <v>12</v>
      </c>
      <c r="C20" s="78" t="s">
        <v>17</v>
      </c>
      <c r="D20" s="78" t="s">
        <v>686</v>
      </c>
      <c r="E20" s="78" t="s">
        <v>14</v>
      </c>
      <c r="F20" s="78" t="s">
        <v>2665</v>
      </c>
      <c r="G20" s="78" t="s">
        <v>2620</v>
      </c>
      <c r="H20" s="78" t="s">
        <v>687</v>
      </c>
      <c r="I20" s="79" t="s">
        <v>16</v>
      </c>
      <c r="J20" s="79" t="s">
        <v>2671</v>
      </c>
      <c r="K20" s="79" t="s">
        <v>16</v>
      </c>
      <c r="L20" s="78" t="s">
        <v>1324</v>
      </c>
      <c r="M20" s="78" t="s">
        <v>1345</v>
      </c>
      <c r="N20" s="78" t="s">
        <v>2668</v>
      </c>
      <c r="O20" s="79" t="s">
        <v>688</v>
      </c>
      <c r="P20" s="78" t="s">
        <v>1343</v>
      </c>
      <c r="Q20" s="78" t="s">
        <v>1344</v>
      </c>
      <c r="R20" s="78" t="s">
        <v>2609</v>
      </c>
      <c r="S20" s="78" t="s">
        <v>2657</v>
      </c>
      <c r="T20" s="78" t="s">
        <v>1345</v>
      </c>
      <c r="U20" s="78" t="s">
        <v>20</v>
      </c>
      <c r="V20" s="78" t="s">
        <v>1924</v>
      </c>
      <c r="W20" s="78" t="s">
        <v>2656</v>
      </c>
      <c r="X20" s="78" t="s">
        <v>164</v>
      </c>
      <c r="Y20" s="79" t="s">
        <v>16</v>
      </c>
      <c r="Z20" s="79" t="s">
        <v>1910</v>
      </c>
    </row>
    <row r="21" spans="2:26" ht="12.75">
      <c r="B21" s="68"/>
      <c r="C21" s="74" t="s">
        <v>2634</v>
      </c>
      <c r="D21" s="74" t="s">
        <v>2665</v>
      </c>
      <c r="E21" s="74" t="s">
        <v>1346</v>
      </c>
      <c r="F21" s="74" t="s">
        <v>21</v>
      </c>
      <c r="G21" s="74" t="s">
        <v>22</v>
      </c>
      <c r="H21" s="74" t="s">
        <v>689</v>
      </c>
      <c r="I21" s="74" t="s">
        <v>24</v>
      </c>
      <c r="J21" s="74" t="s">
        <v>1956</v>
      </c>
      <c r="K21" s="74" t="s">
        <v>1347</v>
      </c>
      <c r="L21" s="74" t="s">
        <v>26</v>
      </c>
      <c r="M21" s="74" t="s">
        <v>689</v>
      </c>
      <c r="N21" s="74" t="s">
        <v>2652</v>
      </c>
      <c r="O21" s="75" t="s">
        <v>690</v>
      </c>
      <c r="P21" s="74" t="s">
        <v>2665</v>
      </c>
      <c r="Q21" s="74" t="s">
        <v>2626</v>
      </c>
      <c r="R21" s="74" t="s">
        <v>2657</v>
      </c>
      <c r="S21" s="74" t="s">
        <v>1319</v>
      </c>
      <c r="T21" s="74" t="s">
        <v>2626</v>
      </c>
      <c r="U21" s="74" t="s">
        <v>691</v>
      </c>
      <c r="V21" s="74" t="s">
        <v>1343</v>
      </c>
      <c r="W21" s="74" t="s">
        <v>2668</v>
      </c>
      <c r="X21" s="74" t="s">
        <v>13</v>
      </c>
      <c r="Y21" s="75" t="s">
        <v>2665</v>
      </c>
      <c r="Z21" s="75" t="s">
        <v>21</v>
      </c>
    </row>
    <row r="22" spans="2:26" ht="12.75">
      <c r="B22" s="77" t="s">
        <v>28</v>
      </c>
      <c r="C22" s="78" t="s">
        <v>1062</v>
      </c>
      <c r="D22" s="78" t="s">
        <v>2656</v>
      </c>
      <c r="E22" s="78" t="s">
        <v>692</v>
      </c>
      <c r="F22" s="78" t="s">
        <v>2625</v>
      </c>
      <c r="G22" s="78" t="s">
        <v>30</v>
      </c>
      <c r="H22" s="79" t="s">
        <v>16</v>
      </c>
      <c r="I22" s="78" t="s">
        <v>1</v>
      </c>
      <c r="J22" s="78" t="s">
        <v>1066</v>
      </c>
      <c r="K22" s="78" t="s">
        <v>1348</v>
      </c>
      <c r="L22" s="78" t="s">
        <v>18</v>
      </c>
      <c r="M22" s="78" t="s">
        <v>33</v>
      </c>
      <c r="N22" s="78" t="s">
        <v>693</v>
      </c>
      <c r="O22" s="79" t="s">
        <v>2626</v>
      </c>
      <c r="P22" s="78" t="s">
        <v>2686</v>
      </c>
      <c r="Q22" s="78" t="s">
        <v>2683</v>
      </c>
      <c r="R22" s="78" t="s">
        <v>1</v>
      </c>
      <c r="S22" s="78" t="s">
        <v>1421</v>
      </c>
      <c r="T22" s="78" t="s">
        <v>33</v>
      </c>
      <c r="U22" s="78" t="s">
        <v>18</v>
      </c>
      <c r="V22" s="78" t="s">
        <v>1909</v>
      </c>
      <c r="W22" s="78" t="s">
        <v>693</v>
      </c>
      <c r="X22" s="78" t="s">
        <v>1349</v>
      </c>
      <c r="Y22" s="79" t="s">
        <v>694</v>
      </c>
      <c r="Z22" s="79" t="s">
        <v>2643</v>
      </c>
    </row>
    <row r="23" spans="2:26" ht="12.75">
      <c r="B23" s="68"/>
      <c r="C23" s="74" t="s">
        <v>2665</v>
      </c>
      <c r="D23" s="74" t="s">
        <v>695</v>
      </c>
      <c r="E23" s="74" t="s">
        <v>1349</v>
      </c>
      <c r="F23" s="74" t="s">
        <v>2652</v>
      </c>
      <c r="G23" s="74" t="s">
        <v>2626</v>
      </c>
      <c r="H23" s="74" t="s">
        <v>696</v>
      </c>
      <c r="I23" s="78" t="s">
        <v>38</v>
      </c>
      <c r="J23" s="74" t="s">
        <v>1957</v>
      </c>
      <c r="K23" s="74" t="s">
        <v>1350</v>
      </c>
      <c r="L23" s="74" t="s">
        <v>1062</v>
      </c>
      <c r="M23" s="74" t="s">
        <v>40</v>
      </c>
      <c r="N23" s="74" t="s">
        <v>14</v>
      </c>
      <c r="O23" s="75" t="s">
        <v>2665</v>
      </c>
      <c r="P23" s="74" t="s">
        <v>697</v>
      </c>
      <c r="Q23" s="74" t="s">
        <v>1351</v>
      </c>
      <c r="R23" s="74" t="s">
        <v>2625</v>
      </c>
      <c r="S23" s="74" t="s">
        <v>2626</v>
      </c>
      <c r="T23" s="74" t="s">
        <v>40</v>
      </c>
      <c r="U23" s="74" t="s">
        <v>698</v>
      </c>
      <c r="V23" s="74" t="s">
        <v>17</v>
      </c>
      <c r="W23" s="74" t="s">
        <v>14</v>
      </c>
      <c r="X23" s="74" t="s">
        <v>1079</v>
      </c>
      <c r="Y23" s="75" t="s">
        <v>2629</v>
      </c>
      <c r="Z23" s="75" t="s">
        <v>40</v>
      </c>
    </row>
    <row r="24" spans="2:26" ht="12.75">
      <c r="B24" s="77" t="s">
        <v>42</v>
      </c>
      <c r="C24" s="78" t="s">
        <v>2656</v>
      </c>
      <c r="D24" s="78" t="s">
        <v>699</v>
      </c>
      <c r="E24" s="78" t="s">
        <v>1352</v>
      </c>
      <c r="F24" s="78" t="s">
        <v>44</v>
      </c>
      <c r="G24" s="78" t="s">
        <v>700</v>
      </c>
      <c r="H24" s="78" t="s">
        <v>38</v>
      </c>
      <c r="I24" s="78" t="s">
        <v>1353</v>
      </c>
      <c r="J24" s="78" t="s">
        <v>918</v>
      </c>
      <c r="K24" s="78" t="s">
        <v>38</v>
      </c>
      <c r="L24" s="78" t="s">
        <v>46</v>
      </c>
      <c r="M24" s="78" t="s">
        <v>1354</v>
      </c>
      <c r="N24" s="78" t="s">
        <v>2</v>
      </c>
      <c r="O24" s="79" t="s">
        <v>1354</v>
      </c>
      <c r="P24" s="78" t="s">
        <v>2656</v>
      </c>
      <c r="Q24" s="78" t="s">
        <v>701</v>
      </c>
      <c r="R24" s="78" t="s">
        <v>2691</v>
      </c>
      <c r="S24" s="78" t="s">
        <v>47</v>
      </c>
      <c r="T24" s="78" t="s">
        <v>1355</v>
      </c>
      <c r="U24" s="78" t="s">
        <v>702</v>
      </c>
      <c r="V24" s="78" t="s">
        <v>2690</v>
      </c>
      <c r="W24" s="78" t="s">
        <v>164</v>
      </c>
      <c r="X24" s="78" t="s">
        <v>703</v>
      </c>
      <c r="Y24" s="78" t="s">
        <v>38</v>
      </c>
      <c r="Z24" s="78" t="s">
        <v>1356</v>
      </c>
    </row>
    <row r="25" spans="2:26" ht="12.75">
      <c r="B25" s="68"/>
      <c r="C25" s="74" t="s">
        <v>46</v>
      </c>
      <c r="D25" s="74" t="s">
        <v>703</v>
      </c>
      <c r="E25" s="74" t="s">
        <v>1356</v>
      </c>
      <c r="F25" s="74" t="s">
        <v>2641</v>
      </c>
      <c r="G25" s="74" t="s">
        <v>704</v>
      </c>
      <c r="H25" s="74" t="s">
        <v>53</v>
      </c>
      <c r="I25" s="74" t="s">
        <v>1357</v>
      </c>
      <c r="J25" s="74" t="s">
        <v>1067</v>
      </c>
      <c r="K25" s="74" t="s">
        <v>1358</v>
      </c>
      <c r="L25" s="74" t="s">
        <v>17</v>
      </c>
      <c r="M25" s="74" t="s">
        <v>44</v>
      </c>
      <c r="N25" s="74" t="s">
        <v>2626</v>
      </c>
      <c r="O25" s="75" t="s">
        <v>2636</v>
      </c>
      <c r="P25" s="74" t="s">
        <v>1</v>
      </c>
      <c r="Q25" s="74" t="s">
        <v>2641</v>
      </c>
      <c r="R25" s="74" t="s">
        <v>47</v>
      </c>
      <c r="S25" s="74" t="s">
        <v>56</v>
      </c>
      <c r="T25" s="74" t="s">
        <v>1359</v>
      </c>
      <c r="U25" s="74" t="s">
        <v>58</v>
      </c>
      <c r="V25" s="74" t="s">
        <v>45</v>
      </c>
      <c r="W25" s="74" t="s">
        <v>1360</v>
      </c>
      <c r="X25" s="74" t="s">
        <v>2645</v>
      </c>
      <c r="Y25" s="75" t="s">
        <v>2686</v>
      </c>
      <c r="Z25" s="75" t="s">
        <v>2641</v>
      </c>
    </row>
    <row r="26" spans="2:26" ht="12.75">
      <c r="B26" s="77" t="s">
        <v>59</v>
      </c>
      <c r="C26" s="78" t="s">
        <v>63</v>
      </c>
      <c r="D26" s="78" t="s">
        <v>1416</v>
      </c>
      <c r="E26" s="78" t="s">
        <v>1362</v>
      </c>
      <c r="F26" s="78"/>
      <c r="G26" s="78" t="s">
        <v>705</v>
      </c>
      <c r="H26" s="79" t="s">
        <v>62</v>
      </c>
      <c r="I26" s="79" t="s">
        <v>62</v>
      </c>
      <c r="J26" s="78" t="s">
        <v>908</v>
      </c>
      <c r="K26" s="78" t="s">
        <v>2691</v>
      </c>
      <c r="L26" s="78"/>
      <c r="M26" s="78" t="s">
        <v>66</v>
      </c>
      <c r="N26" s="78" t="s">
        <v>2656</v>
      </c>
      <c r="O26" s="79" t="s">
        <v>63</v>
      </c>
      <c r="P26" s="78" t="s">
        <v>699</v>
      </c>
      <c r="Q26" s="78" t="s">
        <v>64</v>
      </c>
      <c r="R26" s="78" t="s">
        <v>31</v>
      </c>
      <c r="S26" s="78" t="s">
        <v>1363</v>
      </c>
      <c r="T26" s="78" t="s">
        <v>2677</v>
      </c>
      <c r="U26" s="78" t="s">
        <v>1364</v>
      </c>
      <c r="V26" s="78" t="s">
        <v>63</v>
      </c>
      <c r="W26" s="78" t="s">
        <v>1310</v>
      </c>
      <c r="X26" s="78" t="s">
        <v>69</v>
      </c>
      <c r="Y26" s="79" t="s">
        <v>62</v>
      </c>
      <c r="Z26" s="79"/>
    </row>
    <row r="27" spans="2:26" ht="12.75">
      <c r="B27" s="68"/>
      <c r="C27" s="74" t="s">
        <v>44</v>
      </c>
      <c r="D27" s="74" t="s">
        <v>2633</v>
      </c>
      <c r="E27" s="74" t="s">
        <v>66</v>
      </c>
      <c r="F27" s="74"/>
      <c r="G27" s="74" t="s">
        <v>2690</v>
      </c>
      <c r="H27" s="74" t="s">
        <v>706</v>
      </c>
      <c r="I27" s="74" t="s">
        <v>707</v>
      </c>
      <c r="J27" s="74" t="s">
        <v>919</v>
      </c>
      <c r="K27" s="79" t="s">
        <v>62</v>
      </c>
      <c r="L27" s="74"/>
      <c r="M27" s="74" t="s">
        <v>2637</v>
      </c>
      <c r="N27" s="74" t="s">
        <v>1310</v>
      </c>
      <c r="O27" s="75" t="s">
        <v>44</v>
      </c>
      <c r="P27" s="74" t="s">
        <v>48</v>
      </c>
      <c r="Q27" s="74" t="s">
        <v>1365</v>
      </c>
      <c r="R27" s="74" t="s">
        <v>2009</v>
      </c>
      <c r="S27" s="76" t="s">
        <v>708</v>
      </c>
      <c r="T27" s="74" t="s">
        <v>69</v>
      </c>
      <c r="U27" s="74" t="s">
        <v>1366</v>
      </c>
      <c r="V27" s="74" t="s">
        <v>2628</v>
      </c>
      <c r="W27" s="74" t="s">
        <v>69</v>
      </c>
      <c r="X27" s="74" t="s">
        <v>53</v>
      </c>
      <c r="Y27" s="75" t="s">
        <v>71</v>
      </c>
      <c r="Z27" s="75"/>
    </row>
    <row r="28" spans="2:26" ht="12.75">
      <c r="B28" s="68"/>
      <c r="C28" s="74" t="s">
        <v>1168</v>
      </c>
      <c r="D28" s="76" t="s">
        <v>1367</v>
      </c>
      <c r="E28" s="74" t="s">
        <v>709</v>
      </c>
      <c r="F28" s="74"/>
      <c r="G28" s="74" t="s">
        <v>710</v>
      </c>
      <c r="H28" s="74" t="s">
        <v>75</v>
      </c>
      <c r="I28" s="74" t="s">
        <v>76</v>
      </c>
      <c r="J28" s="74" t="s">
        <v>916</v>
      </c>
      <c r="K28" s="74" t="s">
        <v>711</v>
      </c>
      <c r="L28" s="74"/>
      <c r="M28" s="74" t="s">
        <v>1994</v>
      </c>
      <c r="N28" s="74" t="s">
        <v>2683</v>
      </c>
      <c r="O28" s="75" t="s">
        <v>712</v>
      </c>
      <c r="P28" s="74" t="s">
        <v>1368</v>
      </c>
      <c r="Q28" s="74" t="s">
        <v>2665</v>
      </c>
      <c r="R28" s="74" t="s">
        <v>2010</v>
      </c>
      <c r="S28" s="74" t="s">
        <v>54</v>
      </c>
      <c r="T28" s="74" t="s">
        <v>2700</v>
      </c>
      <c r="U28" s="74" t="s">
        <v>713</v>
      </c>
      <c r="V28" s="74" t="s">
        <v>70</v>
      </c>
      <c r="W28" s="74" t="s">
        <v>1168</v>
      </c>
      <c r="X28" s="74" t="s">
        <v>2636</v>
      </c>
      <c r="Y28" s="75" t="s">
        <v>714</v>
      </c>
      <c r="Z28" s="75"/>
    </row>
    <row r="29" spans="2:26" ht="12.75">
      <c r="B29" s="77" t="s">
        <v>82</v>
      </c>
      <c r="C29" s="78" t="s">
        <v>1910</v>
      </c>
      <c r="D29" s="78" t="s">
        <v>1369</v>
      </c>
      <c r="E29" s="78" t="s">
        <v>84</v>
      </c>
      <c r="F29" s="78"/>
      <c r="G29" s="78" t="s">
        <v>85</v>
      </c>
      <c r="H29" s="78" t="s">
        <v>86</v>
      </c>
      <c r="I29" s="78" t="s">
        <v>2626</v>
      </c>
      <c r="J29" s="78" t="s">
        <v>920</v>
      </c>
      <c r="K29" s="78" t="s">
        <v>715</v>
      </c>
      <c r="L29" s="78"/>
      <c r="M29" s="78" t="s">
        <v>716</v>
      </c>
      <c r="N29" s="78" t="s">
        <v>69</v>
      </c>
      <c r="O29" s="79" t="s">
        <v>14</v>
      </c>
      <c r="P29" s="78" t="s">
        <v>1370</v>
      </c>
      <c r="Q29" s="78" t="s">
        <v>88</v>
      </c>
      <c r="R29" s="78" t="s">
        <v>56</v>
      </c>
      <c r="S29" s="78" t="s">
        <v>89</v>
      </c>
      <c r="T29" s="78" t="s">
        <v>716</v>
      </c>
      <c r="U29" s="78" t="s">
        <v>2628</v>
      </c>
      <c r="V29" s="78" t="s">
        <v>60</v>
      </c>
      <c r="W29" s="78" t="s">
        <v>723</v>
      </c>
      <c r="X29" s="78" t="s">
        <v>2614</v>
      </c>
      <c r="Y29" s="79" t="s">
        <v>19</v>
      </c>
      <c r="Z29" s="79"/>
    </row>
    <row r="30" spans="2:26" ht="12.75">
      <c r="B30" s="68"/>
      <c r="C30" s="74" t="s">
        <v>97</v>
      </c>
      <c r="D30" s="74" t="s">
        <v>1371</v>
      </c>
      <c r="E30" s="74" t="s">
        <v>92</v>
      </c>
      <c r="F30" s="74"/>
      <c r="G30" s="76" t="s">
        <v>93</v>
      </c>
      <c r="H30" s="74" t="s">
        <v>717</v>
      </c>
      <c r="I30" s="74" t="s">
        <v>718</v>
      </c>
      <c r="J30" s="74"/>
      <c r="K30" s="74" t="s">
        <v>1372</v>
      </c>
      <c r="L30" s="74"/>
      <c r="M30" s="74" t="s">
        <v>98</v>
      </c>
      <c r="N30" s="76" t="s">
        <v>72</v>
      </c>
      <c r="O30" s="75" t="s">
        <v>97</v>
      </c>
      <c r="P30" s="74" t="s">
        <v>1373</v>
      </c>
      <c r="Q30" s="74" t="s">
        <v>99</v>
      </c>
      <c r="R30" s="74" t="s">
        <v>99</v>
      </c>
      <c r="S30" s="74" t="s">
        <v>719</v>
      </c>
      <c r="T30" s="74" t="s">
        <v>71</v>
      </c>
      <c r="U30" s="74" t="s">
        <v>2627</v>
      </c>
      <c r="V30" s="74" t="s">
        <v>1373</v>
      </c>
      <c r="W30" s="74" t="s">
        <v>47</v>
      </c>
      <c r="X30" s="74" t="s">
        <v>2643</v>
      </c>
      <c r="Y30" s="75" t="s">
        <v>57</v>
      </c>
      <c r="Z30" s="75"/>
    </row>
    <row r="31" spans="2:26" ht="12.75">
      <c r="B31" s="77" t="s">
        <v>100</v>
      </c>
      <c r="C31" s="78" t="s">
        <v>2557</v>
      </c>
      <c r="D31" s="78" t="s">
        <v>101</v>
      </c>
      <c r="E31" s="78" t="s">
        <v>1374</v>
      </c>
      <c r="F31" s="78"/>
      <c r="G31" s="78" t="s">
        <v>1375</v>
      </c>
      <c r="H31" s="78" t="s">
        <v>715</v>
      </c>
      <c r="I31" s="78" t="s">
        <v>103</v>
      </c>
      <c r="J31" s="78"/>
      <c r="K31" s="78" t="s">
        <v>103</v>
      </c>
      <c r="L31" s="78"/>
      <c r="M31" s="78"/>
      <c r="N31" s="78" t="s">
        <v>2677</v>
      </c>
      <c r="O31" s="79" t="s">
        <v>2557</v>
      </c>
      <c r="P31" s="78" t="s">
        <v>104</v>
      </c>
      <c r="Q31" s="78" t="s">
        <v>686</v>
      </c>
      <c r="R31" s="78"/>
      <c r="S31" s="78" t="s">
        <v>1361</v>
      </c>
      <c r="T31" s="78" t="s">
        <v>2679</v>
      </c>
      <c r="U31" s="78" t="s">
        <v>720</v>
      </c>
      <c r="V31" s="78"/>
      <c r="W31" s="184" t="s">
        <v>2584</v>
      </c>
      <c r="X31" s="78"/>
      <c r="Y31" s="78" t="s">
        <v>103</v>
      </c>
      <c r="Z31" s="78"/>
    </row>
    <row r="32" spans="2:26" ht="12.75">
      <c r="B32" s="68"/>
      <c r="C32" s="74" t="s">
        <v>110</v>
      </c>
      <c r="D32" s="74" t="s">
        <v>1376</v>
      </c>
      <c r="E32" s="74" t="s">
        <v>721</v>
      </c>
      <c r="F32" s="74"/>
      <c r="G32" s="74" t="s">
        <v>107</v>
      </c>
      <c r="H32" s="74" t="s">
        <v>1372</v>
      </c>
      <c r="I32" s="76" t="s">
        <v>1377</v>
      </c>
      <c r="J32" s="76"/>
      <c r="K32" s="74" t="s">
        <v>1378</v>
      </c>
      <c r="L32" s="74"/>
      <c r="M32" s="74"/>
      <c r="N32" s="74" t="s">
        <v>2641</v>
      </c>
      <c r="O32" s="75" t="s">
        <v>110</v>
      </c>
      <c r="P32" s="74" t="s">
        <v>1379</v>
      </c>
      <c r="Q32" s="74" t="s">
        <v>2647</v>
      </c>
      <c r="R32" s="74"/>
      <c r="S32" s="74" t="s">
        <v>1380</v>
      </c>
      <c r="T32" s="74" t="s">
        <v>112</v>
      </c>
      <c r="U32" s="74" t="s">
        <v>1292</v>
      </c>
      <c r="V32" s="74"/>
      <c r="W32" s="76" t="s">
        <v>2584</v>
      </c>
      <c r="X32" s="74"/>
      <c r="Y32" s="75" t="s">
        <v>1381</v>
      </c>
      <c r="Z32" s="75"/>
    </row>
    <row r="33" spans="2:26" ht="12.75">
      <c r="B33" s="77" t="s">
        <v>114</v>
      </c>
      <c r="C33" s="78" t="s">
        <v>2686</v>
      </c>
      <c r="D33" s="78" t="s">
        <v>722</v>
      </c>
      <c r="E33" s="78" t="s">
        <v>1382</v>
      </c>
      <c r="F33" s="78"/>
      <c r="G33" s="78" t="s">
        <v>117</v>
      </c>
      <c r="H33" s="78" t="s">
        <v>103</v>
      </c>
      <c r="I33" s="78" t="s">
        <v>71</v>
      </c>
      <c r="J33" s="78"/>
      <c r="K33" s="78" t="s">
        <v>1383</v>
      </c>
      <c r="L33" s="78"/>
      <c r="M33" s="78"/>
      <c r="N33" s="78" t="s">
        <v>2557</v>
      </c>
      <c r="O33" s="79" t="s">
        <v>73</v>
      </c>
      <c r="P33" s="78" t="s">
        <v>2557</v>
      </c>
      <c r="Q33" s="78" t="s">
        <v>104</v>
      </c>
      <c r="R33" s="78"/>
      <c r="S33" s="78" t="s">
        <v>1384</v>
      </c>
      <c r="T33" s="78" t="s">
        <v>119</v>
      </c>
      <c r="U33" s="78" t="s">
        <v>120</v>
      </c>
      <c r="V33" s="78"/>
      <c r="W33" s="184" t="s">
        <v>2584</v>
      </c>
      <c r="X33" s="78"/>
      <c r="Y33" s="79" t="s">
        <v>121</v>
      </c>
      <c r="Z33" s="79"/>
    </row>
    <row r="34" spans="2:26" ht="12.75">
      <c r="B34" s="68"/>
      <c r="C34" s="74" t="s">
        <v>112</v>
      </c>
      <c r="D34" s="74" t="s">
        <v>97</v>
      </c>
      <c r="E34" s="74" t="s">
        <v>723</v>
      </c>
      <c r="F34" s="74"/>
      <c r="G34" s="74" t="s">
        <v>17</v>
      </c>
      <c r="H34" s="74" t="s">
        <v>1378</v>
      </c>
      <c r="I34" s="74" t="s">
        <v>2686</v>
      </c>
      <c r="J34" s="74"/>
      <c r="K34" s="74" t="s">
        <v>724</v>
      </c>
      <c r="L34" s="74"/>
      <c r="M34" s="74"/>
      <c r="N34" s="74" t="s">
        <v>104</v>
      </c>
      <c r="O34" s="75" t="s">
        <v>112</v>
      </c>
      <c r="P34" s="74" t="s">
        <v>19</v>
      </c>
      <c r="Q34" s="74" t="s">
        <v>36</v>
      </c>
      <c r="R34" s="74"/>
      <c r="S34" s="74" t="s">
        <v>123</v>
      </c>
      <c r="T34" s="74" t="s">
        <v>725</v>
      </c>
      <c r="U34" s="74" t="s">
        <v>125</v>
      </c>
      <c r="V34" s="74"/>
      <c r="W34" s="76" t="s">
        <v>2584</v>
      </c>
      <c r="X34" s="74"/>
      <c r="Y34" s="75" t="s">
        <v>126</v>
      </c>
      <c r="Z34" s="75"/>
    </row>
    <row r="35" spans="2:26" ht="12.75">
      <c r="B35" s="77" t="s">
        <v>127</v>
      </c>
      <c r="C35" s="78" t="s">
        <v>71</v>
      </c>
      <c r="D35" s="78" t="s">
        <v>2557</v>
      </c>
      <c r="E35" s="78" t="s">
        <v>79</v>
      </c>
      <c r="F35" s="78"/>
      <c r="G35" s="78" t="s">
        <v>2630</v>
      </c>
      <c r="H35" s="78" t="s">
        <v>2588</v>
      </c>
      <c r="I35" s="78" t="s">
        <v>2588</v>
      </c>
      <c r="J35" s="78"/>
      <c r="K35" s="78" t="s">
        <v>128</v>
      </c>
      <c r="L35" s="78"/>
      <c r="M35" s="78"/>
      <c r="N35" s="78" t="s">
        <v>17</v>
      </c>
      <c r="O35" s="79" t="s">
        <v>71</v>
      </c>
      <c r="P35" s="78" t="s">
        <v>93</v>
      </c>
      <c r="Q35" s="78" t="s">
        <v>43</v>
      </c>
      <c r="R35" s="78"/>
      <c r="S35" s="78" t="s">
        <v>129</v>
      </c>
      <c r="T35" s="78" t="s">
        <v>53</v>
      </c>
      <c r="U35" s="78" t="s">
        <v>63</v>
      </c>
      <c r="V35" s="78"/>
      <c r="W35" s="184" t="s">
        <v>2584</v>
      </c>
      <c r="X35" s="78"/>
      <c r="Y35" s="79" t="s">
        <v>128</v>
      </c>
      <c r="Z35" s="79"/>
    </row>
    <row r="36" spans="2:26" ht="12.75">
      <c r="B36" s="68"/>
      <c r="C36" s="74" t="s">
        <v>152</v>
      </c>
      <c r="D36" s="74" t="s">
        <v>1385</v>
      </c>
      <c r="E36" s="74" t="s">
        <v>97</v>
      </c>
      <c r="F36" s="74"/>
      <c r="G36" s="74" t="s">
        <v>1379</v>
      </c>
      <c r="H36" s="74" t="s">
        <v>131</v>
      </c>
      <c r="I36" s="79" t="s">
        <v>128</v>
      </c>
      <c r="J36" s="74"/>
      <c r="K36" s="76" t="s">
        <v>726</v>
      </c>
      <c r="L36" s="76"/>
      <c r="M36" s="76"/>
      <c r="N36" s="74" t="s">
        <v>727</v>
      </c>
      <c r="O36" s="75" t="s">
        <v>130</v>
      </c>
      <c r="P36" s="74" t="s">
        <v>57</v>
      </c>
      <c r="Q36" s="74" t="s">
        <v>119</v>
      </c>
      <c r="R36" s="74"/>
      <c r="S36" s="74" t="s">
        <v>728</v>
      </c>
      <c r="T36" s="74" t="s">
        <v>1386</v>
      </c>
      <c r="U36" s="74" t="s">
        <v>729</v>
      </c>
      <c r="V36" s="74"/>
      <c r="W36" s="76" t="s">
        <v>2584</v>
      </c>
      <c r="X36" s="74"/>
      <c r="Y36" s="75" t="s">
        <v>54</v>
      </c>
      <c r="Z36" s="75"/>
    </row>
    <row r="37" spans="2:26" ht="12.75">
      <c r="B37" s="77" t="s">
        <v>136</v>
      </c>
      <c r="C37" s="78" t="s">
        <v>104</v>
      </c>
      <c r="D37" s="78" t="s">
        <v>1387</v>
      </c>
      <c r="E37" s="78" t="s">
        <v>730</v>
      </c>
      <c r="F37" s="78"/>
      <c r="G37" s="78" t="s">
        <v>27</v>
      </c>
      <c r="H37" s="78" t="s">
        <v>139</v>
      </c>
      <c r="I37" s="78" t="s">
        <v>1388</v>
      </c>
      <c r="J37" s="78"/>
      <c r="K37" s="78" t="s">
        <v>140</v>
      </c>
      <c r="L37" s="78"/>
      <c r="M37" s="78"/>
      <c r="N37" s="78" t="s">
        <v>71</v>
      </c>
      <c r="O37" s="79" t="s">
        <v>104</v>
      </c>
      <c r="P37" s="78" t="s">
        <v>141</v>
      </c>
      <c r="Q37" s="78" t="s">
        <v>2557</v>
      </c>
      <c r="R37" s="78"/>
      <c r="S37" s="78" t="s">
        <v>19</v>
      </c>
      <c r="T37" s="78" t="s">
        <v>2687</v>
      </c>
      <c r="U37" s="78" t="s">
        <v>142</v>
      </c>
      <c r="V37" s="78"/>
      <c r="W37" s="184" t="s">
        <v>2584</v>
      </c>
      <c r="X37" s="78"/>
      <c r="Y37" s="79" t="s">
        <v>1358</v>
      </c>
      <c r="Z37" s="79"/>
    </row>
    <row r="38" spans="2:26" ht="12.75">
      <c r="B38" s="68"/>
      <c r="C38" s="74" t="s">
        <v>40</v>
      </c>
      <c r="D38" s="74" t="s">
        <v>40</v>
      </c>
      <c r="E38" s="74" t="s">
        <v>57</v>
      </c>
      <c r="F38" s="74"/>
      <c r="G38" s="74" t="s">
        <v>731</v>
      </c>
      <c r="H38" s="79" t="s">
        <v>128</v>
      </c>
      <c r="I38" s="74" t="s">
        <v>144</v>
      </c>
      <c r="J38" s="74"/>
      <c r="K38" s="79" t="s">
        <v>144</v>
      </c>
      <c r="L38" s="74"/>
      <c r="M38" s="74"/>
      <c r="N38" s="74" t="s">
        <v>51</v>
      </c>
      <c r="O38" s="75" t="s">
        <v>40</v>
      </c>
      <c r="P38" s="74" t="s">
        <v>71</v>
      </c>
      <c r="Q38" s="74" t="s">
        <v>145</v>
      </c>
      <c r="R38" s="74"/>
      <c r="S38" s="74" t="s">
        <v>1389</v>
      </c>
      <c r="T38" s="74" t="s">
        <v>146</v>
      </c>
      <c r="U38" s="74" t="s">
        <v>147</v>
      </c>
      <c r="V38" s="74"/>
      <c r="W38" s="76" t="s">
        <v>2584</v>
      </c>
      <c r="X38" s="74"/>
      <c r="Y38" s="75" t="s">
        <v>144</v>
      </c>
      <c r="Z38" s="75"/>
    </row>
    <row r="39" spans="2:26" ht="12.75">
      <c r="B39" s="77" t="s">
        <v>148</v>
      </c>
      <c r="C39" s="78" t="s">
        <v>19</v>
      </c>
      <c r="D39" s="78" t="s">
        <v>149</v>
      </c>
      <c r="E39" s="78" t="s">
        <v>732</v>
      </c>
      <c r="F39" s="78"/>
      <c r="G39" s="78" t="s">
        <v>1390</v>
      </c>
      <c r="H39" s="78" t="s">
        <v>34</v>
      </c>
      <c r="I39" s="78" t="s">
        <v>152</v>
      </c>
      <c r="J39" s="78"/>
      <c r="K39" s="78" t="s">
        <v>153</v>
      </c>
      <c r="L39" s="78"/>
      <c r="M39" s="78"/>
      <c r="N39" s="78" t="s">
        <v>138</v>
      </c>
      <c r="O39" s="79" t="s">
        <v>134</v>
      </c>
      <c r="P39" s="78" t="s">
        <v>149</v>
      </c>
      <c r="Q39" s="78" t="s">
        <v>154</v>
      </c>
      <c r="R39" s="78"/>
      <c r="S39" s="78" t="s">
        <v>155</v>
      </c>
      <c r="T39" s="78" t="s">
        <v>733</v>
      </c>
      <c r="U39" s="78" t="s">
        <v>152</v>
      </c>
      <c r="V39" s="78"/>
      <c r="W39" s="184" t="s">
        <v>2584</v>
      </c>
      <c r="X39" s="78"/>
      <c r="Y39" s="79" t="s">
        <v>734</v>
      </c>
      <c r="Z39" s="79"/>
    </row>
    <row r="40" spans="2:26" ht="12.75">
      <c r="B40" s="80"/>
      <c r="C40" s="81" t="s">
        <v>2638</v>
      </c>
      <c r="D40" s="81" t="s">
        <v>1391</v>
      </c>
      <c r="E40" s="81" t="s">
        <v>735</v>
      </c>
      <c r="F40" s="81"/>
      <c r="G40" s="81" t="s">
        <v>19</v>
      </c>
      <c r="H40" s="81" t="s">
        <v>144</v>
      </c>
      <c r="I40" s="81" t="s">
        <v>153</v>
      </c>
      <c r="J40" s="81"/>
      <c r="K40" s="81" t="s">
        <v>736</v>
      </c>
      <c r="L40" s="81"/>
      <c r="M40" s="81"/>
      <c r="N40" s="81" t="s">
        <v>140</v>
      </c>
      <c r="O40" s="82" t="s">
        <v>2638</v>
      </c>
      <c r="P40" s="81" t="s">
        <v>146</v>
      </c>
      <c r="Q40" s="81" t="s">
        <v>54</v>
      </c>
      <c r="R40" s="81"/>
      <c r="S40" s="81" t="s">
        <v>160</v>
      </c>
      <c r="T40" s="81" t="s">
        <v>1392</v>
      </c>
      <c r="U40" s="81" t="s">
        <v>161</v>
      </c>
      <c r="V40" s="81"/>
      <c r="W40" s="57" t="s">
        <v>2584</v>
      </c>
      <c r="X40" s="81"/>
      <c r="Y40" s="82" t="s">
        <v>153</v>
      </c>
      <c r="Z40" s="82"/>
    </row>
    <row r="41" spans="2:26" ht="12.75">
      <c r="B41" s="67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</row>
    <row r="42" spans="2:26" ht="12.75">
      <c r="B42" s="83" t="s">
        <v>1393</v>
      </c>
      <c r="C42" s="464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44"/>
    </row>
    <row r="43" spans="2:26" ht="12.75">
      <c r="B43" s="92"/>
      <c r="C43" s="47" t="s">
        <v>1394</v>
      </c>
      <c r="D43" s="58" t="s">
        <v>2598</v>
      </c>
      <c r="E43" s="58" t="s">
        <v>2599</v>
      </c>
      <c r="F43" s="360" t="s">
        <v>905</v>
      </c>
      <c r="G43" s="58" t="s">
        <v>2600</v>
      </c>
      <c r="H43" s="58" t="s">
        <v>2601</v>
      </c>
      <c r="I43" s="58" t="s">
        <v>1395</v>
      </c>
      <c r="J43" s="360" t="s">
        <v>913</v>
      </c>
      <c r="K43" s="58" t="s">
        <v>2603</v>
      </c>
      <c r="L43" s="58" t="s">
        <v>1963</v>
      </c>
      <c r="M43" s="58" t="s">
        <v>903</v>
      </c>
      <c r="N43" s="58" t="s">
        <v>2604</v>
      </c>
      <c r="O43" s="58" t="s">
        <v>2382</v>
      </c>
      <c r="P43" s="58" t="s">
        <v>2381</v>
      </c>
      <c r="Q43" s="58" t="s">
        <v>2383</v>
      </c>
      <c r="R43" s="58" t="s">
        <v>2004</v>
      </c>
      <c r="S43" s="58" t="s">
        <v>2605</v>
      </c>
      <c r="T43" s="58" t="s">
        <v>2606</v>
      </c>
      <c r="U43" s="58" t="s">
        <v>2607</v>
      </c>
      <c r="V43" s="65" t="s">
        <v>900</v>
      </c>
      <c r="W43" s="65" t="s">
        <v>1167</v>
      </c>
      <c r="X43" s="65" t="s">
        <v>898</v>
      </c>
      <c r="Y43" s="63" t="s">
        <v>2608</v>
      </c>
      <c r="Z43" s="58" t="s">
        <v>1940</v>
      </c>
    </row>
    <row r="44" spans="2:26" ht="12.75">
      <c r="B44" s="88" t="s">
        <v>1166</v>
      </c>
      <c r="C44" s="89">
        <v>6</v>
      </c>
      <c r="D44" s="89">
        <v>6</v>
      </c>
      <c r="E44" s="89">
        <v>7</v>
      </c>
      <c r="F44" s="89">
        <v>6</v>
      </c>
      <c r="G44" s="89">
        <v>7</v>
      </c>
      <c r="H44" s="89">
        <v>4</v>
      </c>
      <c r="I44" s="89">
        <v>4</v>
      </c>
      <c r="J44" s="89">
        <v>7</v>
      </c>
      <c r="K44" s="89">
        <v>4</v>
      </c>
      <c r="L44" s="89">
        <v>9</v>
      </c>
      <c r="M44" s="89">
        <v>6</v>
      </c>
      <c r="N44" s="89">
        <v>6</v>
      </c>
      <c r="O44" s="89">
        <v>8</v>
      </c>
      <c r="P44" s="89">
        <v>7</v>
      </c>
      <c r="Q44" s="89">
        <v>5</v>
      </c>
      <c r="R44" s="89">
        <v>6</v>
      </c>
      <c r="S44" s="89">
        <v>6</v>
      </c>
      <c r="T44" s="89">
        <v>9</v>
      </c>
      <c r="U44" s="89">
        <v>6</v>
      </c>
      <c r="V44" s="90">
        <v>9</v>
      </c>
      <c r="W44" s="90">
        <v>6</v>
      </c>
      <c r="X44" s="90">
        <v>6</v>
      </c>
      <c r="Y44" s="90">
        <v>4</v>
      </c>
      <c r="Z44" s="90">
        <v>6</v>
      </c>
    </row>
    <row r="45" spans="2:26" ht="12.75">
      <c r="B45" s="88" t="s">
        <v>812</v>
      </c>
      <c r="C45" s="91">
        <v>5</v>
      </c>
      <c r="D45" s="91">
        <v>5</v>
      </c>
      <c r="E45" s="91">
        <v>6</v>
      </c>
      <c r="F45" s="91">
        <v>5</v>
      </c>
      <c r="G45" s="91">
        <v>6</v>
      </c>
      <c r="H45" s="91">
        <v>3</v>
      </c>
      <c r="I45" s="91">
        <v>3</v>
      </c>
      <c r="J45" s="91">
        <v>6</v>
      </c>
      <c r="K45" s="91">
        <v>3</v>
      </c>
      <c r="L45" s="91">
        <v>7</v>
      </c>
      <c r="M45" s="91">
        <v>5</v>
      </c>
      <c r="N45" s="91">
        <v>5</v>
      </c>
      <c r="O45" s="91">
        <v>6</v>
      </c>
      <c r="P45" s="91">
        <v>6</v>
      </c>
      <c r="Q45" s="91">
        <v>4</v>
      </c>
      <c r="R45" s="91">
        <v>5</v>
      </c>
      <c r="S45" s="91">
        <v>5</v>
      </c>
      <c r="T45" s="91">
        <v>7</v>
      </c>
      <c r="U45" s="91">
        <v>5</v>
      </c>
      <c r="V45" s="91">
        <v>7</v>
      </c>
      <c r="W45" s="91">
        <v>5</v>
      </c>
      <c r="X45" s="91">
        <v>5</v>
      </c>
      <c r="Y45" s="91">
        <v>3</v>
      </c>
      <c r="Z45" s="91">
        <v>5</v>
      </c>
    </row>
    <row r="46" spans="2:26" ht="12.75">
      <c r="B46" s="41"/>
      <c r="C46" s="465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2:26" ht="12.75">
      <c r="B47" s="41"/>
      <c r="C47" s="465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2:26" ht="12.75">
      <c r="B48" s="237" t="s">
        <v>1396</v>
      </c>
      <c r="C48" s="46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40"/>
    </row>
    <row r="49" spans="2:26" ht="12.75">
      <c r="B49" s="92"/>
      <c r="C49" s="47" t="s">
        <v>1394</v>
      </c>
      <c r="D49" s="58" t="s">
        <v>2598</v>
      </c>
      <c r="E49" s="58" t="s">
        <v>2599</v>
      </c>
      <c r="F49" s="360" t="s">
        <v>905</v>
      </c>
      <c r="G49" s="58" t="s">
        <v>2600</v>
      </c>
      <c r="H49" s="58" t="s">
        <v>2601</v>
      </c>
      <c r="I49" s="58" t="s">
        <v>1395</v>
      </c>
      <c r="J49" s="360" t="s">
        <v>913</v>
      </c>
      <c r="K49" s="58" t="s">
        <v>2603</v>
      </c>
      <c r="L49" s="58" t="s">
        <v>1963</v>
      </c>
      <c r="M49" s="58" t="s">
        <v>903</v>
      </c>
      <c r="N49" s="58" t="s">
        <v>2604</v>
      </c>
      <c r="O49" s="58" t="s">
        <v>2382</v>
      </c>
      <c r="P49" s="58" t="s">
        <v>2381</v>
      </c>
      <c r="Q49" s="58" t="s">
        <v>2383</v>
      </c>
      <c r="R49" s="58" t="s">
        <v>2004</v>
      </c>
      <c r="S49" s="58" t="s">
        <v>2605</v>
      </c>
      <c r="T49" s="58" t="s">
        <v>2606</v>
      </c>
      <c r="U49" s="58" t="s">
        <v>2607</v>
      </c>
      <c r="V49" s="65" t="s">
        <v>900</v>
      </c>
      <c r="W49" s="65" t="s">
        <v>1167</v>
      </c>
      <c r="X49" s="65" t="s">
        <v>898</v>
      </c>
      <c r="Y49" s="63" t="s">
        <v>2608</v>
      </c>
      <c r="Z49" s="58" t="s">
        <v>1940</v>
      </c>
    </row>
    <row r="50" spans="2:26" ht="12.75">
      <c r="B50" s="178" t="s">
        <v>2545</v>
      </c>
      <c r="C50" s="37" t="s">
        <v>1169</v>
      </c>
      <c r="D50" s="37" t="s">
        <v>1169</v>
      </c>
      <c r="E50" s="373" t="s">
        <v>1169</v>
      </c>
      <c r="F50" s="471" t="s">
        <v>1169</v>
      </c>
      <c r="G50" s="37" t="s">
        <v>1169</v>
      </c>
      <c r="H50" s="37" t="s">
        <v>1169</v>
      </c>
      <c r="I50" s="37" t="s">
        <v>1169</v>
      </c>
      <c r="J50" s="474" t="s">
        <v>1169</v>
      </c>
      <c r="K50" s="37" t="s">
        <v>1169</v>
      </c>
      <c r="L50" s="473" t="s">
        <v>1169</v>
      </c>
      <c r="M50" s="473" t="s">
        <v>1169</v>
      </c>
      <c r="N50" s="37" t="s">
        <v>1169</v>
      </c>
      <c r="O50" s="37" t="s">
        <v>1169</v>
      </c>
      <c r="P50" s="37" t="s">
        <v>1169</v>
      </c>
      <c r="Q50" s="37" t="s">
        <v>1169</v>
      </c>
      <c r="R50" s="473" t="s">
        <v>1169</v>
      </c>
      <c r="S50" s="37" t="s">
        <v>1169</v>
      </c>
      <c r="T50" s="37" t="s">
        <v>1169</v>
      </c>
      <c r="U50" s="37" t="s">
        <v>1169</v>
      </c>
      <c r="V50" s="473" t="s">
        <v>1169</v>
      </c>
      <c r="W50" s="37" t="s">
        <v>1169</v>
      </c>
      <c r="X50" s="473" t="s">
        <v>1169</v>
      </c>
      <c r="Y50" s="37" t="s">
        <v>1169</v>
      </c>
      <c r="Z50" s="37" t="s">
        <v>1169</v>
      </c>
    </row>
    <row r="51" spans="2:26" ht="12.75">
      <c r="B51" s="178" t="s">
        <v>2646</v>
      </c>
      <c r="C51" s="37" t="s">
        <v>1169</v>
      </c>
      <c r="D51" s="37" t="s">
        <v>1169</v>
      </c>
      <c r="E51" s="37" t="s">
        <v>1169</v>
      </c>
      <c r="F51" s="471" t="s">
        <v>1169</v>
      </c>
      <c r="G51" s="37" t="s">
        <v>1169</v>
      </c>
      <c r="H51" s="37" t="s">
        <v>1169</v>
      </c>
      <c r="I51" s="37" t="s">
        <v>1169</v>
      </c>
      <c r="J51" s="474" t="s">
        <v>1169</v>
      </c>
      <c r="K51" s="37" t="s">
        <v>1169</v>
      </c>
      <c r="L51" s="473" t="s">
        <v>1169</v>
      </c>
      <c r="M51" s="473" t="s">
        <v>1169</v>
      </c>
      <c r="N51" s="37" t="s">
        <v>1169</v>
      </c>
      <c r="O51" s="37" t="s">
        <v>1169</v>
      </c>
      <c r="P51" s="37" t="s">
        <v>1169</v>
      </c>
      <c r="Q51" s="37" t="s">
        <v>1169</v>
      </c>
      <c r="R51" s="473" t="s">
        <v>1169</v>
      </c>
      <c r="S51" s="37" t="s">
        <v>1169</v>
      </c>
      <c r="T51" s="37" t="s">
        <v>1169</v>
      </c>
      <c r="U51" s="37" t="s">
        <v>1169</v>
      </c>
      <c r="V51" s="473" t="s">
        <v>1169</v>
      </c>
      <c r="W51" s="37" t="s">
        <v>1169</v>
      </c>
      <c r="X51" s="473" t="s">
        <v>1169</v>
      </c>
      <c r="Y51" s="37" t="s">
        <v>1169</v>
      </c>
      <c r="Z51" s="37" t="s">
        <v>1169</v>
      </c>
    </row>
    <row r="52" spans="2:26" ht="12.75">
      <c r="B52" s="178" t="s">
        <v>2666</v>
      </c>
      <c r="C52" s="37" t="s">
        <v>1169</v>
      </c>
      <c r="D52" s="37" t="s">
        <v>1169</v>
      </c>
      <c r="E52" s="37" t="s">
        <v>1169</v>
      </c>
      <c r="F52" s="471" t="s">
        <v>1169</v>
      </c>
      <c r="G52" s="37" t="s">
        <v>1169</v>
      </c>
      <c r="H52" s="37" t="s">
        <v>1169</v>
      </c>
      <c r="I52" s="37" t="s">
        <v>1169</v>
      </c>
      <c r="J52" s="474" t="s">
        <v>1169</v>
      </c>
      <c r="K52" s="37" t="s">
        <v>1169</v>
      </c>
      <c r="L52" s="473" t="s">
        <v>1169</v>
      </c>
      <c r="M52" s="473" t="s">
        <v>1169</v>
      </c>
      <c r="N52" s="37" t="s">
        <v>1169</v>
      </c>
      <c r="O52" s="37" t="s">
        <v>1169</v>
      </c>
      <c r="P52" s="37" t="s">
        <v>1169</v>
      </c>
      <c r="Q52" s="37" t="s">
        <v>1169</v>
      </c>
      <c r="R52" s="473" t="s">
        <v>1169</v>
      </c>
      <c r="S52" s="37" t="s">
        <v>1169</v>
      </c>
      <c r="T52" s="37" t="s">
        <v>1169</v>
      </c>
      <c r="U52" s="37" t="s">
        <v>1169</v>
      </c>
      <c r="V52" s="473" t="s">
        <v>1169</v>
      </c>
      <c r="W52" s="37" t="s">
        <v>1169</v>
      </c>
      <c r="X52" s="473" t="s">
        <v>1169</v>
      </c>
      <c r="Y52" s="37" t="s">
        <v>1169</v>
      </c>
      <c r="Z52" s="37" t="s">
        <v>1169</v>
      </c>
    </row>
    <row r="53" spans="2:26" ht="12.75">
      <c r="B53" s="178" t="s">
        <v>2685</v>
      </c>
      <c r="C53" s="37" t="s">
        <v>1472</v>
      </c>
      <c r="D53" s="37" t="s">
        <v>1472</v>
      </c>
      <c r="E53" s="37" t="s">
        <v>1453</v>
      </c>
      <c r="F53" s="471" t="s">
        <v>1472</v>
      </c>
      <c r="G53" s="37" t="s">
        <v>1494</v>
      </c>
      <c r="H53" s="37" t="s">
        <v>1170</v>
      </c>
      <c r="I53" s="37" t="s">
        <v>1169</v>
      </c>
      <c r="J53" s="474" t="s">
        <v>1667</v>
      </c>
      <c r="K53" s="37" t="s">
        <v>1622</v>
      </c>
      <c r="L53" s="473" t="s">
        <v>1667</v>
      </c>
      <c r="M53" s="473" t="s">
        <v>1998</v>
      </c>
      <c r="N53" s="37" t="s">
        <v>1169</v>
      </c>
      <c r="O53" s="37" t="s">
        <v>1505</v>
      </c>
      <c r="P53" s="37" t="s">
        <v>1472</v>
      </c>
      <c r="Q53" s="37" t="s">
        <v>1622</v>
      </c>
      <c r="R53" s="473" t="s">
        <v>1622</v>
      </c>
      <c r="S53" s="37" t="s">
        <v>1472</v>
      </c>
      <c r="T53" s="37" t="s">
        <v>1667</v>
      </c>
      <c r="U53" s="37" t="s">
        <v>1169</v>
      </c>
      <c r="V53" s="473" t="s">
        <v>1505</v>
      </c>
      <c r="W53" s="37" t="s">
        <v>1169</v>
      </c>
      <c r="X53" s="473" t="s">
        <v>1622</v>
      </c>
      <c r="Y53" s="37" t="s">
        <v>1678</v>
      </c>
      <c r="Z53" s="37" t="s">
        <v>1472</v>
      </c>
    </row>
    <row r="54" spans="2:26" ht="12.75">
      <c r="B54" s="178" t="s">
        <v>2694</v>
      </c>
      <c r="C54" s="37" t="s">
        <v>1473</v>
      </c>
      <c r="D54" s="37" t="s">
        <v>1473</v>
      </c>
      <c r="E54" s="37" t="s">
        <v>1454</v>
      </c>
      <c r="F54" s="471" t="s">
        <v>1473</v>
      </c>
      <c r="G54" s="37" t="s">
        <v>1495</v>
      </c>
      <c r="H54" s="37" t="s">
        <v>1482</v>
      </c>
      <c r="I54" s="37" t="s">
        <v>1170</v>
      </c>
      <c r="J54" s="474" t="s">
        <v>1958</v>
      </c>
      <c r="K54" s="37" t="s">
        <v>1482</v>
      </c>
      <c r="L54" s="473" t="s">
        <v>1967</v>
      </c>
      <c r="M54" s="473" t="s">
        <v>1998</v>
      </c>
      <c r="N54" s="37" t="s">
        <v>1515</v>
      </c>
      <c r="O54" s="37" t="s">
        <v>1506</v>
      </c>
      <c r="P54" s="37" t="s">
        <v>1650</v>
      </c>
      <c r="Q54" s="37" t="s">
        <v>1482</v>
      </c>
      <c r="R54" s="473" t="s">
        <v>2011</v>
      </c>
      <c r="S54" s="37" t="s">
        <v>1633</v>
      </c>
      <c r="T54" s="37" t="s">
        <v>1668</v>
      </c>
      <c r="U54" s="37" t="s">
        <v>1171</v>
      </c>
      <c r="V54" s="473" t="s">
        <v>1925</v>
      </c>
      <c r="W54" s="37" t="s">
        <v>1515</v>
      </c>
      <c r="X54" s="473" t="s">
        <v>1934</v>
      </c>
      <c r="Y54" s="37" t="s">
        <v>1679</v>
      </c>
      <c r="Z54" s="473" t="s">
        <v>1944</v>
      </c>
    </row>
    <row r="55" spans="2:26" ht="12.75">
      <c r="B55" s="178" t="s">
        <v>12</v>
      </c>
      <c r="C55" s="37" t="s">
        <v>1473</v>
      </c>
      <c r="D55" s="37" t="s">
        <v>1981</v>
      </c>
      <c r="E55" s="37" t="s">
        <v>1455</v>
      </c>
      <c r="F55" s="471" t="s">
        <v>1917</v>
      </c>
      <c r="G55" s="37" t="s">
        <v>1497</v>
      </c>
      <c r="H55" s="37" t="s">
        <v>1483</v>
      </c>
      <c r="I55" s="37" t="s">
        <v>1172</v>
      </c>
      <c r="J55" s="474" t="s">
        <v>1959</v>
      </c>
      <c r="K55" s="37" t="s">
        <v>1623</v>
      </c>
      <c r="L55" s="473" t="s">
        <v>1968</v>
      </c>
      <c r="M55" s="473" t="s">
        <v>1999</v>
      </c>
      <c r="N55" s="37" t="s">
        <v>1516</v>
      </c>
      <c r="O55" s="37" t="s">
        <v>1507</v>
      </c>
      <c r="P55" s="37" t="s">
        <v>1651</v>
      </c>
      <c r="Q55" s="37" t="s">
        <v>1623</v>
      </c>
      <c r="R55" s="473" t="s">
        <v>2014</v>
      </c>
      <c r="S55" s="37" t="s">
        <v>1634</v>
      </c>
      <c r="T55" s="37" t="s">
        <v>1669</v>
      </c>
      <c r="U55" s="37" t="s">
        <v>1172</v>
      </c>
      <c r="V55" s="473" t="s">
        <v>1926</v>
      </c>
      <c r="W55" s="37" t="s">
        <v>1516</v>
      </c>
      <c r="X55" s="473" t="s">
        <v>1935</v>
      </c>
      <c r="Y55" s="37" t="s">
        <v>1680</v>
      </c>
      <c r="Z55" s="473" t="s">
        <v>1945</v>
      </c>
    </row>
    <row r="56" spans="2:26" ht="12.75">
      <c r="B56" s="178" t="s">
        <v>28</v>
      </c>
      <c r="C56" s="37" t="s">
        <v>1917</v>
      </c>
      <c r="D56" s="37" t="s">
        <v>1982</v>
      </c>
      <c r="E56" s="37" t="s">
        <v>1456</v>
      </c>
      <c r="F56" s="471" t="s">
        <v>1918</v>
      </c>
      <c r="G56" s="37" t="s">
        <v>1496</v>
      </c>
      <c r="H56" s="37" t="s">
        <v>1484</v>
      </c>
      <c r="I56" s="37" t="s">
        <v>1474</v>
      </c>
      <c r="J56" s="474" t="s">
        <v>1960</v>
      </c>
      <c r="K56" s="37" t="s">
        <v>1624</v>
      </c>
      <c r="L56" s="473" t="s">
        <v>1969</v>
      </c>
      <c r="M56" s="473" t="s">
        <v>2000</v>
      </c>
      <c r="N56" s="37" t="s">
        <v>1517</v>
      </c>
      <c r="O56" s="37" t="s">
        <v>1508</v>
      </c>
      <c r="P56" s="37" t="s">
        <v>1652</v>
      </c>
      <c r="Q56" s="37" t="s">
        <v>1623</v>
      </c>
      <c r="R56" s="473" t="s">
        <v>2015</v>
      </c>
      <c r="S56" s="37" t="s">
        <v>1634</v>
      </c>
      <c r="T56" s="37" t="s">
        <v>1670</v>
      </c>
      <c r="U56" s="37" t="s">
        <v>1474</v>
      </c>
      <c r="V56" s="473" t="s">
        <v>1927</v>
      </c>
      <c r="W56" s="37" t="s">
        <v>1517</v>
      </c>
      <c r="X56" s="473" t="s">
        <v>1936</v>
      </c>
      <c r="Y56" s="37" t="s">
        <v>1681</v>
      </c>
      <c r="Z56" s="473" t="s">
        <v>1945</v>
      </c>
    </row>
    <row r="57" spans="2:26" ht="12.75">
      <c r="B57" s="178" t="s">
        <v>42</v>
      </c>
      <c r="C57" s="37" t="s">
        <v>1974</v>
      </c>
      <c r="D57" s="37" t="s">
        <v>1983</v>
      </c>
      <c r="E57" s="37" t="s">
        <v>1457</v>
      </c>
      <c r="F57" s="471" t="s">
        <v>1919</v>
      </c>
      <c r="G57" s="37" t="s">
        <v>1498</v>
      </c>
      <c r="H57" s="37" t="s">
        <v>1485</v>
      </c>
      <c r="I57" s="37" t="s">
        <v>1475</v>
      </c>
      <c r="J57" s="474" t="s">
        <v>1971</v>
      </c>
      <c r="K57" s="37" t="s">
        <v>1625</v>
      </c>
      <c r="L57" s="473" t="s">
        <v>1970</v>
      </c>
      <c r="M57" s="473" t="s">
        <v>2001</v>
      </c>
      <c r="N57" s="37" t="s">
        <v>1518</v>
      </c>
      <c r="O57" s="37" t="s">
        <v>1509</v>
      </c>
      <c r="P57" s="37" t="s">
        <v>1653</v>
      </c>
      <c r="Q57" s="37" t="s">
        <v>1642</v>
      </c>
      <c r="R57" s="473" t="s">
        <v>2015</v>
      </c>
      <c r="S57" s="37" t="s">
        <v>1635</v>
      </c>
      <c r="T57" s="37" t="s">
        <v>1671</v>
      </c>
      <c r="U57" s="37" t="s">
        <v>1660</v>
      </c>
      <c r="V57" s="473" t="s">
        <v>1928</v>
      </c>
      <c r="W57" s="37" t="s">
        <v>1518</v>
      </c>
      <c r="X57" s="473" t="s">
        <v>1937</v>
      </c>
      <c r="Y57" s="37" t="s">
        <v>1682</v>
      </c>
      <c r="Z57" s="473" t="s">
        <v>1946</v>
      </c>
    </row>
    <row r="58" spans="2:26" ht="12.75">
      <c r="B58" s="178" t="s">
        <v>59</v>
      </c>
      <c r="C58" s="37" t="s">
        <v>1975</v>
      </c>
      <c r="D58" s="37" t="s">
        <v>1984</v>
      </c>
      <c r="E58" s="37" t="s">
        <v>1458</v>
      </c>
      <c r="F58" s="471"/>
      <c r="G58" s="37" t="s">
        <v>1499</v>
      </c>
      <c r="H58" s="37" t="s">
        <v>1486</v>
      </c>
      <c r="I58" s="37" t="s">
        <v>1476</v>
      </c>
      <c r="J58" s="474" t="s">
        <v>1972</v>
      </c>
      <c r="K58" s="37" t="s">
        <v>1626</v>
      </c>
      <c r="L58" s="37"/>
      <c r="M58" s="473" t="s">
        <v>2002</v>
      </c>
      <c r="N58" s="37" t="s">
        <v>1519</v>
      </c>
      <c r="O58" s="37" t="s">
        <v>1510</v>
      </c>
      <c r="P58" s="37" t="s">
        <v>1654</v>
      </c>
      <c r="Q58" s="37" t="s">
        <v>1643</v>
      </c>
      <c r="R58" s="473" t="s">
        <v>2016</v>
      </c>
      <c r="S58" s="37" t="s">
        <v>1635</v>
      </c>
      <c r="T58" s="37" t="s">
        <v>1672</v>
      </c>
      <c r="U58" s="37" t="s">
        <v>1661</v>
      </c>
      <c r="V58" s="473" t="s">
        <v>1929</v>
      </c>
      <c r="W58" s="37" t="s">
        <v>1689</v>
      </c>
      <c r="X58" s="473" t="s">
        <v>1938</v>
      </c>
      <c r="Y58" s="37" t="s">
        <v>1683</v>
      </c>
      <c r="Z58" s="37"/>
    </row>
    <row r="59" spans="2:26" ht="12.75">
      <c r="B59" s="178" t="s">
        <v>82</v>
      </c>
      <c r="C59" s="37" t="s">
        <v>1976</v>
      </c>
      <c r="D59" s="37" t="s">
        <v>1985</v>
      </c>
      <c r="E59" s="37" t="s">
        <v>1459</v>
      </c>
      <c r="F59" s="471"/>
      <c r="G59" s="37" t="s">
        <v>1500</v>
      </c>
      <c r="H59" s="37" t="s">
        <v>1486</v>
      </c>
      <c r="I59" s="37" t="s">
        <v>1477</v>
      </c>
      <c r="J59" s="474" t="s">
        <v>1973</v>
      </c>
      <c r="K59" s="37" t="s">
        <v>1627</v>
      </c>
      <c r="L59" s="37"/>
      <c r="M59" s="473" t="s">
        <v>2003</v>
      </c>
      <c r="N59" s="37" t="s">
        <v>1519</v>
      </c>
      <c r="O59" s="37" t="s">
        <v>1511</v>
      </c>
      <c r="P59" s="37" t="s">
        <v>1655</v>
      </c>
      <c r="Q59" s="37" t="s">
        <v>1643</v>
      </c>
      <c r="R59" s="473" t="s">
        <v>2017</v>
      </c>
      <c r="S59" s="37" t="s">
        <v>1636</v>
      </c>
      <c r="T59" s="37" t="s">
        <v>1673</v>
      </c>
      <c r="U59" s="37" t="s">
        <v>1662</v>
      </c>
      <c r="V59" s="473" t="s">
        <v>1930</v>
      </c>
      <c r="W59" s="37" t="s">
        <v>1690</v>
      </c>
      <c r="X59" s="473" t="s">
        <v>1939</v>
      </c>
      <c r="Y59" s="37" t="s">
        <v>1683</v>
      </c>
      <c r="Z59" s="37"/>
    </row>
    <row r="60" spans="2:26" ht="12.75">
      <c r="B60" s="178" t="s">
        <v>100</v>
      </c>
      <c r="C60" s="37" t="s">
        <v>1977</v>
      </c>
      <c r="D60" s="37" t="s">
        <v>1986</v>
      </c>
      <c r="E60" s="37" t="s">
        <v>1460</v>
      </c>
      <c r="F60" s="471"/>
      <c r="G60" s="37" t="s">
        <v>1501</v>
      </c>
      <c r="H60" s="37" t="s">
        <v>1487</v>
      </c>
      <c r="I60" s="37" t="s">
        <v>1478</v>
      </c>
      <c r="J60" s="127"/>
      <c r="K60" s="37" t="s">
        <v>1627</v>
      </c>
      <c r="L60" s="37"/>
      <c r="M60" s="37" t="s">
        <v>885</v>
      </c>
      <c r="N60" s="37" t="s">
        <v>1520</v>
      </c>
      <c r="O60" s="37" t="s">
        <v>1512</v>
      </c>
      <c r="P60" s="37" t="s">
        <v>1656</v>
      </c>
      <c r="Q60" s="37" t="s">
        <v>1644</v>
      </c>
      <c r="R60" s="37"/>
      <c r="S60" s="37" t="s">
        <v>1637</v>
      </c>
      <c r="T60" s="37" t="s">
        <v>1674</v>
      </c>
      <c r="U60" s="37" t="s">
        <v>1663</v>
      </c>
      <c r="V60" s="37" t="s">
        <v>885</v>
      </c>
      <c r="W60" s="37" t="s">
        <v>885</v>
      </c>
      <c r="X60" s="37" t="s">
        <v>885</v>
      </c>
      <c r="Y60" s="37" t="s">
        <v>1684</v>
      </c>
      <c r="Z60" s="37"/>
    </row>
    <row r="61" spans="2:26" ht="12.75">
      <c r="B61" s="178" t="s">
        <v>114</v>
      </c>
      <c r="C61" s="37" t="s">
        <v>1978</v>
      </c>
      <c r="D61" s="37" t="s">
        <v>1987</v>
      </c>
      <c r="E61" s="37" t="s">
        <v>1461</v>
      </c>
      <c r="F61" s="471"/>
      <c r="G61" s="37" t="s">
        <v>1502</v>
      </c>
      <c r="H61" s="37" t="s">
        <v>1488</v>
      </c>
      <c r="I61" s="37" t="s">
        <v>1478</v>
      </c>
      <c r="J61" s="127"/>
      <c r="K61" s="37" t="s">
        <v>1629</v>
      </c>
      <c r="L61" s="37"/>
      <c r="M61" s="37" t="s">
        <v>885</v>
      </c>
      <c r="N61" s="37" t="s">
        <v>1521</v>
      </c>
      <c r="O61" s="37" t="s">
        <v>1513</v>
      </c>
      <c r="P61" s="37" t="s">
        <v>1657</v>
      </c>
      <c r="Q61" s="37" t="s">
        <v>1645</v>
      </c>
      <c r="R61" s="37"/>
      <c r="S61" s="37" t="s">
        <v>1638</v>
      </c>
      <c r="T61" s="37" t="s">
        <v>1675</v>
      </c>
      <c r="U61" s="37" t="s">
        <v>1664</v>
      </c>
      <c r="V61" s="37" t="s">
        <v>885</v>
      </c>
      <c r="W61" s="37" t="s">
        <v>885</v>
      </c>
      <c r="X61" s="37" t="s">
        <v>885</v>
      </c>
      <c r="Y61" s="37" t="s">
        <v>1685</v>
      </c>
      <c r="Z61" s="37"/>
    </row>
    <row r="62" spans="2:26" ht="12.75">
      <c r="B62" s="178" t="s">
        <v>127</v>
      </c>
      <c r="C62" s="37" t="s">
        <v>1979</v>
      </c>
      <c r="D62" s="37" t="s">
        <v>1988</v>
      </c>
      <c r="E62" s="37" t="s">
        <v>1461</v>
      </c>
      <c r="F62" s="471"/>
      <c r="G62" s="37" t="s">
        <v>1502</v>
      </c>
      <c r="H62" s="37" t="s">
        <v>1489</v>
      </c>
      <c r="I62" s="37" t="s">
        <v>1479</v>
      </c>
      <c r="J62" s="127"/>
      <c r="K62" s="37" t="s">
        <v>1630</v>
      </c>
      <c r="L62" s="37"/>
      <c r="M62" s="37" t="s">
        <v>885</v>
      </c>
      <c r="N62" s="37" t="s">
        <v>1522</v>
      </c>
      <c r="O62" s="37" t="s">
        <v>1514</v>
      </c>
      <c r="P62" s="37" t="s">
        <v>1657</v>
      </c>
      <c r="Q62" s="37" t="s">
        <v>1645</v>
      </c>
      <c r="R62" s="37"/>
      <c r="S62" s="37" t="s">
        <v>1639</v>
      </c>
      <c r="T62" s="37" t="s">
        <v>1675</v>
      </c>
      <c r="U62" s="37" t="s">
        <v>1665</v>
      </c>
      <c r="V62" s="37" t="s">
        <v>885</v>
      </c>
      <c r="W62" s="37" t="s">
        <v>885</v>
      </c>
      <c r="X62" s="37" t="s">
        <v>885</v>
      </c>
      <c r="Y62" s="37" t="s">
        <v>1686</v>
      </c>
      <c r="Z62" s="37"/>
    </row>
    <row r="63" spans="2:26" ht="12.75">
      <c r="B63" s="178" t="s">
        <v>136</v>
      </c>
      <c r="C63" s="37" t="s">
        <v>1979</v>
      </c>
      <c r="D63" s="37" t="s">
        <v>1989</v>
      </c>
      <c r="E63" s="37" t="s">
        <v>1462</v>
      </c>
      <c r="F63" s="471"/>
      <c r="G63" s="37" t="s">
        <v>1503</v>
      </c>
      <c r="H63" s="37" t="s">
        <v>1490</v>
      </c>
      <c r="I63" s="37" t="s">
        <v>1480</v>
      </c>
      <c r="J63" s="127"/>
      <c r="K63" s="37" t="s">
        <v>1631</v>
      </c>
      <c r="L63" s="37"/>
      <c r="M63" s="37" t="s">
        <v>885</v>
      </c>
      <c r="N63" s="37" t="s">
        <v>1523</v>
      </c>
      <c r="O63" s="37" t="s">
        <v>1514</v>
      </c>
      <c r="P63" s="37" t="s">
        <v>1658</v>
      </c>
      <c r="Q63" s="37" t="s">
        <v>1646</v>
      </c>
      <c r="R63" s="37"/>
      <c r="S63" s="37" t="s">
        <v>1640</v>
      </c>
      <c r="T63" s="37" t="s">
        <v>1676</v>
      </c>
      <c r="U63" s="37" t="s">
        <v>1665</v>
      </c>
      <c r="V63" s="37" t="s">
        <v>885</v>
      </c>
      <c r="W63" s="37" t="s">
        <v>885</v>
      </c>
      <c r="X63" s="37" t="s">
        <v>885</v>
      </c>
      <c r="Y63" s="37" t="s">
        <v>1687</v>
      </c>
      <c r="Z63" s="37"/>
    </row>
    <row r="64" spans="2:26" ht="12.75">
      <c r="B64" s="179" t="s">
        <v>148</v>
      </c>
      <c r="C64" s="35" t="s">
        <v>1980</v>
      </c>
      <c r="D64" s="35" t="s">
        <v>1990</v>
      </c>
      <c r="E64" s="35" t="s">
        <v>1463</v>
      </c>
      <c r="F64" s="472"/>
      <c r="G64" s="35" t="s">
        <v>1504</v>
      </c>
      <c r="H64" s="35" t="s">
        <v>1491</v>
      </c>
      <c r="I64" s="35" t="s">
        <v>1481</v>
      </c>
      <c r="J64" s="182"/>
      <c r="K64" s="35" t="s">
        <v>1632</v>
      </c>
      <c r="L64" s="35"/>
      <c r="M64" s="35" t="s">
        <v>885</v>
      </c>
      <c r="N64" s="35" t="s">
        <v>1524</v>
      </c>
      <c r="O64" s="35" t="s">
        <v>1514</v>
      </c>
      <c r="P64" s="35" t="s">
        <v>1659</v>
      </c>
      <c r="Q64" s="35" t="s">
        <v>1647</v>
      </c>
      <c r="R64" s="35"/>
      <c r="S64" s="35" t="s">
        <v>1641</v>
      </c>
      <c r="T64" s="35" t="s">
        <v>1677</v>
      </c>
      <c r="U64" s="35" t="s">
        <v>1666</v>
      </c>
      <c r="V64" s="35" t="s">
        <v>885</v>
      </c>
      <c r="W64" s="35" t="s">
        <v>885</v>
      </c>
      <c r="X64" s="35" t="s">
        <v>885</v>
      </c>
      <c r="Y64" s="35" t="s">
        <v>1688</v>
      </c>
      <c r="Z64" s="35"/>
    </row>
    <row r="65" spans="2:26" ht="12.75">
      <c r="B65" s="88" t="s">
        <v>1691</v>
      </c>
      <c r="C65" s="371">
        <v>14</v>
      </c>
      <c r="D65" s="371">
        <v>15</v>
      </c>
      <c r="E65" s="371">
        <v>15</v>
      </c>
      <c r="F65" s="372">
        <v>16</v>
      </c>
      <c r="G65" s="371">
        <v>14</v>
      </c>
      <c r="H65" s="371">
        <v>16</v>
      </c>
      <c r="I65" s="371">
        <v>13</v>
      </c>
      <c r="J65" s="372">
        <v>16</v>
      </c>
      <c r="K65" s="371">
        <v>14</v>
      </c>
      <c r="L65" s="371">
        <v>16</v>
      </c>
      <c r="M65" s="372">
        <v>16</v>
      </c>
      <c r="N65" s="371">
        <v>14</v>
      </c>
      <c r="O65" s="371">
        <v>14</v>
      </c>
      <c r="P65" s="371">
        <v>11</v>
      </c>
      <c r="Q65" s="371">
        <v>14</v>
      </c>
      <c r="R65" s="371">
        <v>16</v>
      </c>
      <c r="S65" s="371">
        <v>16</v>
      </c>
      <c r="T65" s="371">
        <v>13</v>
      </c>
      <c r="U65" s="371">
        <v>13</v>
      </c>
      <c r="V65" s="372">
        <v>16</v>
      </c>
      <c r="W65" s="372">
        <v>16</v>
      </c>
      <c r="X65" s="372">
        <v>16</v>
      </c>
      <c r="Y65" s="371">
        <v>13</v>
      </c>
      <c r="Z65" s="371">
        <v>16</v>
      </c>
    </row>
    <row r="66" spans="2:26" ht="12.75">
      <c r="B66" s="251" t="s">
        <v>2447</v>
      </c>
      <c r="C66" s="253">
        <v>15</v>
      </c>
      <c r="D66" s="254">
        <v>16</v>
      </c>
      <c r="E66" s="252">
        <v>16</v>
      </c>
      <c r="F66" s="252">
        <v>16</v>
      </c>
      <c r="G66" s="252">
        <v>13</v>
      </c>
      <c r="H66" s="252">
        <v>10</v>
      </c>
      <c r="I66" s="252">
        <v>4</v>
      </c>
      <c r="J66" s="252">
        <v>16</v>
      </c>
      <c r="K66" s="252">
        <v>11</v>
      </c>
      <c r="L66" s="252">
        <v>16</v>
      </c>
      <c r="M66" s="252">
        <v>5</v>
      </c>
      <c r="N66" s="252">
        <v>4</v>
      </c>
      <c r="O66" s="252">
        <v>14</v>
      </c>
      <c r="P66" s="252">
        <v>13</v>
      </c>
      <c r="Q66" s="252">
        <v>7</v>
      </c>
      <c r="R66" s="252">
        <v>8</v>
      </c>
      <c r="S66" s="252">
        <v>7</v>
      </c>
      <c r="T66" s="252">
        <v>13</v>
      </c>
      <c r="U66" s="252">
        <v>4</v>
      </c>
      <c r="V66" s="252">
        <v>16</v>
      </c>
      <c r="W66" s="252">
        <v>4</v>
      </c>
      <c r="X66" s="252">
        <v>16</v>
      </c>
      <c r="Y66" s="252">
        <v>10</v>
      </c>
      <c r="Z66" s="252">
        <v>7</v>
      </c>
    </row>
    <row r="67" spans="2:26" s="165" customFormat="1" ht="12.75">
      <c r="B67" s="179" t="s">
        <v>1760</v>
      </c>
      <c r="C67" s="467" t="s">
        <v>1432</v>
      </c>
      <c r="D67" s="255"/>
      <c r="E67" s="246"/>
      <c r="F67" s="246"/>
      <c r="G67" s="367" t="s">
        <v>1433</v>
      </c>
      <c r="H67" s="367" t="s">
        <v>1434</v>
      </c>
      <c r="I67" s="246" t="s">
        <v>1732</v>
      </c>
      <c r="J67" s="246"/>
      <c r="K67" s="367" t="s">
        <v>1438</v>
      </c>
      <c r="L67" s="367"/>
      <c r="M67" s="367" t="s">
        <v>1995</v>
      </c>
      <c r="N67" s="367" t="s">
        <v>1440</v>
      </c>
      <c r="O67" s="367" t="s">
        <v>1432</v>
      </c>
      <c r="P67" s="367" t="s">
        <v>1443</v>
      </c>
      <c r="Q67" s="246" t="s">
        <v>1733</v>
      </c>
      <c r="R67" s="367" t="s">
        <v>2018</v>
      </c>
      <c r="S67" s="246" t="s">
        <v>1755</v>
      </c>
      <c r="T67" s="367" t="s">
        <v>1449</v>
      </c>
      <c r="U67" s="246" t="s">
        <v>1756</v>
      </c>
      <c r="V67" s="246"/>
      <c r="W67" s="246" t="s">
        <v>1759</v>
      </c>
      <c r="X67" s="246"/>
      <c r="Y67" s="367" t="s">
        <v>1397</v>
      </c>
      <c r="Z67" s="367" t="s">
        <v>1759</v>
      </c>
    </row>
    <row r="68" spans="2:26" ht="12.75">
      <c r="B68" s="251" t="s">
        <v>2447</v>
      </c>
      <c r="C68" s="253">
        <v>16</v>
      </c>
      <c r="D68" s="254">
        <v>16</v>
      </c>
      <c r="E68" s="252">
        <v>16</v>
      </c>
      <c r="F68" s="252">
        <v>16</v>
      </c>
      <c r="G68" s="252">
        <v>16</v>
      </c>
      <c r="H68" s="252">
        <v>13</v>
      </c>
      <c r="I68" s="252">
        <v>12</v>
      </c>
      <c r="J68" s="252">
        <v>16</v>
      </c>
      <c r="K68" s="252">
        <v>15</v>
      </c>
      <c r="L68" s="252">
        <v>16</v>
      </c>
      <c r="M68" s="252">
        <v>16</v>
      </c>
      <c r="N68" s="252">
        <v>10</v>
      </c>
      <c r="O68" s="252">
        <v>15</v>
      </c>
      <c r="P68" s="252">
        <v>16</v>
      </c>
      <c r="Q68" s="252">
        <v>10</v>
      </c>
      <c r="R68" s="252">
        <v>16</v>
      </c>
      <c r="S68" s="252">
        <v>9</v>
      </c>
      <c r="T68" s="252">
        <v>16</v>
      </c>
      <c r="U68" s="252">
        <v>11</v>
      </c>
      <c r="V68" s="252">
        <v>16</v>
      </c>
      <c r="W68" s="252">
        <v>16</v>
      </c>
      <c r="X68" s="252">
        <v>16</v>
      </c>
      <c r="Y68" s="252">
        <v>14</v>
      </c>
      <c r="Z68" s="252">
        <v>16</v>
      </c>
    </row>
    <row r="69" spans="2:26" s="165" customFormat="1" ht="12.75">
      <c r="B69" s="179" t="s">
        <v>1760</v>
      </c>
      <c r="C69" s="467"/>
      <c r="D69" s="255"/>
      <c r="E69" s="246"/>
      <c r="F69" s="246"/>
      <c r="G69" s="367"/>
      <c r="H69" s="367" t="s">
        <v>1435</v>
      </c>
      <c r="I69" s="367" t="s">
        <v>1437</v>
      </c>
      <c r="J69" s="246"/>
      <c r="K69" s="367" t="s">
        <v>1439</v>
      </c>
      <c r="L69" s="367"/>
      <c r="M69" s="246"/>
      <c r="N69" s="367" t="s">
        <v>1441</v>
      </c>
      <c r="O69" s="367" t="s">
        <v>1442</v>
      </c>
      <c r="P69" s="246"/>
      <c r="Q69" s="367" t="s">
        <v>1444</v>
      </c>
      <c r="R69" s="367"/>
      <c r="S69" s="367" t="s">
        <v>1447</v>
      </c>
      <c r="T69" s="246"/>
      <c r="U69" s="367" t="s">
        <v>1450</v>
      </c>
      <c r="V69" s="246"/>
      <c r="W69" s="246"/>
      <c r="X69" s="246"/>
      <c r="Y69" s="367" t="s">
        <v>1452</v>
      </c>
      <c r="Z69" s="367"/>
    </row>
    <row r="70" spans="2:26" ht="12.75">
      <c r="B70" s="251" t="s">
        <v>2447</v>
      </c>
      <c r="C70" s="253">
        <v>16</v>
      </c>
      <c r="D70" s="254">
        <v>16</v>
      </c>
      <c r="E70" s="252">
        <v>16</v>
      </c>
      <c r="F70" s="252">
        <v>16</v>
      </c>
      <c r="G70" s="252">
        <v>16</v>
      </c>
      <c r="H70" s="252">
        <v>15</v>
      </c>
      <c r="I70" s="252">
        <v>16</v>
      </c>
      <c r="J70" s="252">
        <v>16</v>
      </c>
      <c r="K70" s="252">
        <v>16</v>
      </c>
      <c r="L70" s="252">
        <v>16</v>
      </c>
      <c r="M70" s="252">
        <v>16</v>
      </c>
      <c r="N70" s="252">
        <v>16</v>
      </c>
      <c r="O70" s="252">
        <v>16</v>
      </c>
      <c r="P70" s="252">
        <v>16</v>
      </c>
      <c r="Q70" s="252">
        <v>13</v>
      </c>
      <c r="R70" s="252">
        <v>16</v>
      </c>
      <c r="S70" s="252">
        <v>13</v>
      </c>
      <c r="T70" s="252">
        <v>16</v>
      </c>
      <c r="U70" s="252">
        <v>14</v>
      </c>
      <c r="V70" s="252">
        <v>16</v>
      </c>
      <c r="W70" s="252">
        <v>16</v>
      </c>
      <c r="X70" s="252">
        <v>16</v>
      </c>
      <c r="Y70" s="252">
        <v>16</v>
      </c>
      <c r="Z70" s="252">
        <v>16</v>
      </c>
    </row>
    <row r="71" spans="2:26" s="165" customFormat="1" ht="12.75">
      <c r="B71" s="179" t="s">
        <v>1760</v>
      </c>
      <c r="C71" s="467"/>
      <c r="D71" s="255"/>
      <c r="E71" s="246"/>
      <c r="F71" s="246"/>
      <c r="G71" s="367"/>
      <c r="H71" s="367" t="s">
        <v>1436</v>
      </c>
      <c r="I71" s="246"/>
      <c r="J71" s="246"/>
      <c r="K71" s="246"/>
      <c r="L71" s="246"/>
      <c r="M71" s="246"/>
      <c r="N71" s="246"/>
      <c r="O71" s="246"/>
      <c r="P71" s="246"/>
      <c r="Q71" s="367" t="s">
        <v>1445</v>
      </c>
      <c r="R71" s="367"/>
      <c r="S71" s="367" t="s">
        <v>1448</v>
      </c>
      <c r="T71" s="246"/>
      <c r="U71" s="367" t="s">
        <v>1451</v>
      </c>
      <c r="V71" s="246"/>
      <c r="W71" s="246"/>
      <c r="X71" s="246"/>
      <c r="Y71" s="246"/>
      <c r="Z71" s="246"/>
    </row>
    <row r="72" spans="2:26" ht="12.75">
      <c r="B72" s="251" t="s">
        <v>2447</v>
      </c>
      <c r="C72" s="253">
        <v>16</v>
      </c>
      <c r="D72" s="254">
        <v>16</v>
      </c>
      <c r="E72" s="252">
        <v>16</v>
      </c>
      <c r="F72" s="252">
        <v>16</v>
      </c>
      <c r="G72" s="252">
        <v>16</v>
      </c>
      <c r="H72" s="252">
        <v>16</v>
      </c>
      <c r="I72" s="252">
        <v>16</v>
      </c>
      <c r="J72" s="252">
        <v>16</v>
      </c>
      <c r="K72" s="252">
        <v>16</v>
      </c>
      <c r="L72" s="252">
        <v>16</v>
      </c>
      <c r="M72" s="252">
        <v>16</v>
      </c>
      <c r="N72" s="252">
        <v>16</v>
      </c>
      <c r="O72" s="252">
        <v>16</v>
      </c>
      <c r="P72" s="252">
        <v>16</v>
      </c>
      <c r="Q72" s="252">
        <v>15</v>
      </c>
      <c r="R72" s="252">
        <v>16</v>
      </c>
      <c r="S72" s="252">
        <v>16</v>
      </c>
      <c r="T72" s="252">
        <v>16</v>
      </c>
      <c r="U72" s="252">
        <v>16</v>
      </c>
      <c r="V72" s="252">
        <v>16</v>
      </c>
      <c r="W72" s="252">
        <v>16</v>
      </c>
      <c r="X72" s="252">
        <v>16</v>
      </c>
      <c r="Y72" s="252">
        <v>16</v>
      </c>
      <c r="Z72" s="252">
        <v>16</v>
      </c>
    </row>
    <row r="73" spans="2:26" s="165" customFormat="1" ht="12.75">
      <c r="B73" s="179" t="s">
        <v>1760</v>
      </c>
      <c r="C73" s="467"/>
      <c r="D73" s="255"/>
      <c r="E73" s="246"/>
      <c r="F73" s="246"/>
      <c r="G73" s="367"/>
      <c r="H73" s="367"/>
      <c r="I73" s="246"/>
      <c r="J73" s="246"/>
      <c r="K73" s="246"/>
      <c r="L73" s="246"/>
      <c r="M73" s="246"/>
      <c r="N73" s="246"/>
      <c r="O73" s="246"/>
      <c r="P73" s="246"/>
      <c r="Q73" s="367" t="s">
        <v>1446</v>
      </c>
      <c r="R73" s="367"/>
      <c r="S73" s="246"/>
      <c r="T73" s="246"/>
      <c r="U73" s="246"/>
      <c r="V73" s="246"/>
      <c r="W73" s="246"/>
      <c r="X73" s="246"/>
      <c r="Y73" s="246"/>
      <c r="Z73" s="246"/>
    </row>
    <row r="74" spans="2:26" s="165" customFormat="1" ht="12.75">
      <c r="B74" s="236"/>
      <c r="C74" s="468"/>
      <c r="D74" s="368"/>
      <c r="E74" s="369"/>
      <c r="F74" s="369"/>
      <c r="G74" s="370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</row>
    <row r="75" spans="2:26" ht="12.75">
      <c r="B75" s="41"/>
      <c r="C75" s="465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2:26" ht="12.75">
      <c r="B76" s="43" t="s">
        <v>1398</v>
      </c>
      <c r="C76" s="46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40"/>
      <c r="Z76" s="40"/>
    </row>
    <row r="77" spans="2:26" ht="12.75">
      <c r="B77" s="92"/>
      <c r="C77" s="463" t="s">
        <v>1394</v>
      </c>
      <c r="D77" s="58" t="s">
        <v>2598</v>
      </c>
      <c r="E77" s="58" t="s">
        <v>2599</v>
      </c>
      <c r="F77" s="58" t="s">
        <v>905</v>
      </c>
      <c r="G77" s="58" t="s">
        <v>2600</v>
      </c>
      <c r="H77" s="58" t="s">
        <v>2601</v>
      </c>
      <c r="I77" s="58" t="s">
        <v>1395</v>
      </c>
      <c r="J77" s="65" t="s">
        <v>913</v>
      </c>
      <c r="K77" s="58" t="s">
        <v>2603</v>
      </c>
      <c r="L77" s="58" t="s">
        <v>1963</v>
      </c>
      <c r="M77" s="58" t="s">
        <v>903</v>
      </c>
      <c r="N77" s="58" t="s">
        <v>2604</v>
      </c>
      <c r="O77" s="58" t="s">
        <v>2382</v>
      </c>
      <c r="P77" s="58" t="s">
        <v>2381</v>
      </c>
      <c r="Q77" s="58" t="s">
        <v>2383</v>
      </c>
      <c r="R77" s="58" t="s">
        <v>2004</v>
      </c>
      <c r="S77" s="58" t="s">
        <v>2605</v>
      </c>
      <c r="T77" s="58" t="s">
        <v>2606</v>
      </c>
      <c r="U77" s="58" t="s">
        <v>2607</v>
      </c>
      <c r="V77" s="65" t="s">
        <v>900</v>
      </c>
      <c r="W77" s="65" t="s">
        <v>1167</v>
      </c>
      <c r="X77" s="65" t="s">
        <v>898</v>
      </c>
      <c r="Y77" s="58" t="s">
        <v>2608</v>
      </c>
      <c r="Z77" s="58" t="s">
        <v>1940</v>
      </c>
    </row>
    <row r="78" spans="2:26" ht="12.75">
      <c r="B78" s="361">
        <v>1</v>
      </c>
      <c r="C78" s="469" t="s">
        <v>1208</v>
      </c>
      <c r="D78" s="361" t="s">
        <v>1211</v>
      </c>
      <c r="E78" s="361" t="s">
        <v>1220</v>
      </c>
      <c r="F78" s="109"/>
      <c r="G78" s="361" t="s">
        <v>1223</v>
      </c>
      <c r="H78" s="361" t="s">
        <v>1229</v>
      </c>
      <c r="I78" s="361" t="s">
        <v>2021</v>
      </c>
      <c r="J78" s="109"/>
      <c r="K78" s="361" t="s">
        <v>2020</v>
      </c>
      <c r="L78" s="109"/>
      <c r="M78" s="361" t="s">
        <v>1240</v>
      </c>
      <c r="N78" s="361" t="s">
        <v>1241</v>
      </c>
      <c r="O78" s="361" t="s">
        <v>2037</v>
      </c>
      <c r="P78" s="361" t="s">
        <v>2036</v>
      </c>
      <c r="Q78" s="361" t="s">
        <v>1262</v>
      </c>
      <c r="R78" s="109"/>
      <c r="S78" s="361" t="s">
        <v>1268</v>
      </c>
      <c r="T78" s="361" t="s">
        <v>2035</v>
      </c>
      <c r="U78" s="361" t="s">
        <v>1703</v>
      </c>
      <c r="V78" s="109"/>
      <c r="W78" s="109"/>
      <c r="X78" s="109"/>
      <c r="Y78" s="361" t="s">
        <v>2020</v>
      </c>
      <c r="Z78" s="109"/>
    </row>
    <row r="79" spans="2:26" ht="12.75">
      <c r="B79" s="109">
        <v>2</v>
      </c>
      <c r="C79" s="466" t="s">
        <v>1209</v>
      </c>
      <c r="D79" s="362" t="s">
        <v>1212</v>
      </c>
      <c r="E79" s="362" t="s">
        <v>1221</v>
      </c>
      <c r="F79" s="109"/>
      <c r="G79" s="362" t="s">
        <v>1224</v>
      </c>
      <c r="H79" s="362" t="s">
        <v>2021</v>
      </c>
      <c r="I79" s="362" t="s">
        <v>2024</v>
      </c>
      <c r="J79" s="109"/>
      <c r="K79" s="362" t="s">
        <v>1236</v>
      </c>
      <c r="L79" s="109"/>
      <c r="M79" s="109"/>
      <c r="N79" s="362" t="s">
        <v>1242</v>
      </c>
      <c r="O79" s="362" t="s">
        <v>1246</v>
      </c>
      <c r="P79" s="362" t="s">
        <v>1245</v>
      </c>
      <c r="Q79" s="362" t="s">
        <v>1263</v>
      </c>
      <c r="R79" s="109"/>
      <c r="S79" s="362" t="s">
        <v>1269</v>
      </c>
      <c r="T79" s="362" t="s">
        <v>1262</v>
      </c>
      <c r="U79" s="362" t="s">
        <v>1704</v>
      </c>
      <c r="V79" s="109"/>
      <c r="W79" s="109"/>
      <c r="X79" s="109"/>
      <c r="Y79" s="362" t="s">
        <v>1711</v>
      </c>
      <c r="Z79" s="109"/>
    </row>
    <row r="80" spans="2:26" ht="12.75">
      <c r="B80" s="109">
        <v>3</v>
      </c>
      <c r="C80" s="466" t="s">
        <v>1721</v>
      </c>
      <c r="D80" s="364" t="s">
        <v>1213</v>
      </c>
      <c r="E80" s="364" t="s">
        <v>2022</v>
      </c>
      <c r="F80" s="362"/>
      <c r="G80" s="364" t="s">
        <v>1225</v>
      </c>
      <c r="H80" s="364" t="s">
        <v>1230</v>
      </c>
      <c r="I80" s="488" t="s">
        <v>2048</v>
      </c>
      <c r="J80" s="362"/>
      <c r="K80" s="364" t="s">
        <v>1237</v>
      </c>
      <c r="L80" s="362"/>
      <c r="M80" s="109"/>
      <c r="N80" s="364" t="s">
        <v>1243</v>
      </c>
      <c r="O80" s="364" t="s">
        <v>1247</v>
      </c>
      <c r="P80" s="364" t="s">
        <v>1252</v>
      </c>
      <c r="Q80" s="364" t="s">
        <v>1264</v>
      </c>
      <c r="R80" s="362"/>
      <c r="S80" s="364" t="s">
        <v>1270</v>
      </c>
      <c r="T80" s="364" t="s">
        <v>1698</v>
      </c>
      <c r="U80" s="364" t="s">
        <v>1705</v>
      </c>
      <c r="V80" s="362"/>
      <c r="W80" s="362"/>
      <c r="X80" s="362"/>
      <c r="Y80" s="364" t="s">
        <v>1712</v>
      </c>
      <c r="Z80" s="362"/>
    </row>
    <row r="81" spans="2:26" ht="12.75">
      <c r="B81" s="109">
        <v>4</v>
      </c>
      <c r="C81" s="466" t="s">
        <v>2039</v>
      </c>
      <c r="D81" s="364" t="s">
        <v>1214</v>
      </c>
      <c r="E81" s="364" t="s">
        <v>2051</v>
      </c>
      <c r="F81" s="109"/>
      <c r="G81" s="364" t="s">
        <v>1226</v>
      </c>
      <c r="H81" s="364" t="s">
        <v>2025</v>
      </c>
      <c r="I81" s="364" t="s">
        <v>1233</v>
      </c>
      <c r="J81" s="109"/>
      <c r="K81" s="364" t="s">
        <v>2025</v>
      </c>
      <c r="L81" s="109"/>
      <c r="M81" s="362"/>
      <c r="N81" s="364" t="s">
        <v>2023</v>
      </c>
      <c r="O81" s="364" t="s">
        <v>1248</v>
      </c>
      <c r="P81" s="364" t="s">
        <v>1253</v>
      </c>
      <c r="Q81" s="364" t="s">
        <v>1265</v>
      </c>
      <c r="R81" s="109"/>
      <c r="S81" s="364" t="s">
        <v>1271</v>
      </c>
      <c r="T81" s="364" t="s">
        <v>1699</v>
      </c>
      <c r="U81" s="364" t="s">
        <v>1706</v>
      </c>
      <c r="V81" s="109"/>
      <c r="W81" s="109"/>
      <c r="X81" s="109"/>
      <c r="Y81" s="364" t="s">
        <v>2024</v>
      </c>
      <c r="Z81" s="109"/>
    </row>
    <row r="82" spans="2:26" ht="12.75">
      <c r="B82" s="109">
        <v>5</v>
      </c>
      <c r="C82" s="466" t="s">
        <v>1210</v>
      </c>
      <c r="D82" s="364" t="s">
        <v>1215</v>
      </c>
      <c r="E82" s="364" t="s">
        <v>1222</v>
      </c>
      <c r="F82" s="110"/>
      <c r="G82" s="364" t="s">
        <v>1227</v>
      </c>
      <c r="H82" s="364" t="s">
        <v>1231</v>
      </c>
      <c r="I82" s="364" t="s">
        <v>2030</v>
      </c>
      <c r="J82" s="110"/>
      <c r="K82" s="364" t="s">
        <v>2049</v>
      </c>
      <c r="L82" s="110"/>
      <c r="M82" s="109"/>
      <c r="N82" s="364" t="s">
        <v>2050</v>
      </c>
      <c r="O82" s="364" t="s">
        <v>1249</v>
      </c>
      <c r="P82" s="364" t="s">
        <v>2038</v>
      </c>
      <c r="Q82" s="364" t="s">
        <v>1266</v>
      </c>
      <c r="R82" s="110"/>
      <c r="S82" s="364" t="s">
        <v>1272</v>
      </c>
      <c r="T82" s="364" t="s">
        <v>1700</v>
      </c>
      <c r="U82" s="364" t="s">
        <v>1707</v>
      </c>
      <c r="V82" s="110"/>
      <c r="W82" s="110"/>
      <c r="X82" s="110"/>
      <c r="Y82" s="364" t="s">
        <v>1713</v>
      </c>
      <c r="Z82" s="110"/>
    </row>
    <row r="83" spans="2:26" ht="12.75">
      <c r="B83" s="109">
        <v>6</v>
      </c>
      <c r="C83" s="466"/>
      <c r="D83" s="364" t="s">
        <v>1399</v>
      </c>
      <c r="E83" s="109"/>
      <c r="F83" s="363" t="s">
        <v>2584</v>
      </c>
      <c r="G83" s="364" t="s">
        <v>1228</v>
      </c>
      <c r="H83" s="364" t="s">
        <v>1232</v>
      </c>
      <c r="I83" s="364" t="s">
        <v>2041</v>
      </c>
      <c r="J83" s="363" t="s">
        <v>2584</v>
      </c>
      <c r="K83" s="364" t="s">
        <v>2029</v>
      </c>
      <c r="L83" s="364"/>
      <c r="M83" s="110"/>
      <c r="N83" s="364" t="s">
        <v>1244</v>
      </c>
      <c r="O83" s="364" t="s">
        <v>1250</v>
      </c>
      <c r="P83" s="364" t="s">
        <v>1254</v>
      </c>
      <c r="Q83" s="364" t="s">
        <v>1267</v>
      </c>
      <c r="R83" s="364"/>
      <c r="S83" s="364" t="s">
        <v>1273</v>
      </c>
      <c r="T83" s="364" t="s">
        <v>1701</v>
      </c>
      <c r="U83" s="364" t="s">
        <v>1708</v>
      </c>
      <c r="V83" s="363" t="s">
        <v>2584</v>
      </c>
      <c r="W83" s="363" t="s">
        <v>2584</v>
      </c>
      <c r="X83" s="363" t="s">
        <v>2584</v>
      </c>
      <c r="Y83" s="364" t="s">
        <v>2028</v>
      </c>
      <c r="Z83" s="364"/>
    </row>
    <row r="84" spans="2:26" ht="12.75">
      <c r="B84" s="109">
        <v>7</v>
      </c>
      <c r="C84" s="466"/>
      <c r="D84" s="364" t="s">
        <v>1217</v>
      </c>
      <c r="E84" s="109"/>
      <c r="F84" s="363" t="s">
        <v>2584</v>
      </c>
      <c r="G84" s="109"/>
      <c r="H84" s="364" t="s">
        <v>2029</v>
      </c>
      <c r="I84" s="364" t="s">
        <v>2046</v>
      </c>
      <c r="J84" s="363" t="s">
        <v>2584</v>
      </c>
      <c r="K84" s="364" t="s">
        <v>2031</v>
      </c>
      <c r="L84" s="364"/>
      <c r="M84" s="363" t="s">
        <v>2584</v>
      </c>
      <c r="N84" s="364" t="s">
        <v>2027</v>
      </c>
      <c r="O84" s="364" t="s">
        <v>1210</v>
      </c>
      <c r="P84" s="364" t="s">
        <v>1255</v>
      </c>
      <c r="Q84" s="364" t="s">
        <v>79</v>
      </c>
      <c r="R84" s="364"/>
      <c r="S84" s="364" t="s">
        <v>1695</v>
      </c>
      <c r="T84" s="364" t="s">
        <v>1254</v>
      </c>
      <c r="U84" s="364" t="s">
        <v>1709</v>
      </c>
      <c r="V84" s="363" t="s">
        <v>2584</v>
      </c>
      <c r="W84" s="363" t="s">
        <v>2584</v>
      </c>
      <c r="X84" s="363" t="s">
        <v>2584</v>
      </c>
      <c r="Y84" s="364" t="s">
        <v>2030</v>
      </c>
      <c r="Z84" s="364"/>
    </row>
    <row r="85" spans="2:26" ht="12.75">
      <c r="B85" s="109">
        <v>8</v>
      </c>
      <c r="C85" s="466"/>
      <c r="D85" s="364" t="s">
        <v>2043</v>
      </c>
      <c r="E85" s="362"/>
      <c r="F85" s="363" t="s">
        <v>2584</v>
      </c>
      <c r="G85" s="109"/>
      <c r="H85" s="364" t="s">
        <v>2031</v>
      </c>
      <c r="I85" s="364" t="s">
        <v>1234</v>
      </c>
      <c r="J85" s="363" t="s">
        <v>2584</v>
      </c>
      <c r="K85" s="364" t="s">
        <v>2042</v>
      </c>
      <c r="L85" s="364"/>
      <c r="M85" s="363" t="s">
        <v>2584</v>
      </c>
      <c r="N85" s="109"/>
      <c r="O85" s="364" t="s">
        <v>1251</v>
      </c>
      <c r="P85" s="364" t="str">
        <f>IF(Race=Tskrang,"Second Tail"," ")</f>
        <v> </v>
      </c>
      <c r="Q85" s="364" t="s">
        <v>2044</v>
      </c>
      <c r="R85" s="364"/>
      <c r="S85" s="364" t="s">
        <v>1696</v>
      </c>
      <c r="T85" s="364" t="s">
        <v>1702</v>
      </c>
      <c r="U85" s="364" t="s">
        <v>1710</v>
      </c>
      <c r="V85" s="363" t="s">
        <v>2584</v>
      </c>
      <c r="W85" s="363" t="s">
        <v>2584</v>
      </c>
      <c r="X85" s="363" t="s">
        <v>2584</v>
      </c>
      <c r="Y85" s="364" t="s">
        <v>2040</v>
      </c>
      <c r="Z85" s="364"/>
    </row>
    <row r="86" spans="2:26" ht="12.75">
      <c r="B86" s="109">
        <v>9</v>
      </c>
      <c r="C86" s="466"/>
      <c r="D86" s="364" t="s">
        <v>1218</v>
      </c>
      <c r="E86" s="109"/>
      <c r="F86" s="363" t="s">
        <v>2584</v>
      </c>
      <c r="G86" s="362"/>
      <c r="H86" s="364" t="s">
        <v>2042</v>
      </c>
      <c r="I86" s="364" t="s">
        <v>2033</v>
      </c>
      <c r="J86" s="363" t="s">
        <v>2584</v>
      </c>
      <c r="K86" s="364" t="s">
        <v>1238</v>
      </c>
      <c r="L86" s="364"/>
      <c r="M86" s="363" t="s">
        <v>2584</v>
      </c>
      <c r="N86" s="109"/>
      <c r="O86" s="109"/>
      <c r="P86" s="364" t="s">
        <v>1257</v>
      </c>
      <c r="Q86" s="364" t="s">
        <v>2026</v>
      </c>
      <c r="R86" s="364"/>
      <c r="S86" s="364" t="s">
        <v>1697</v>
      </c>
      <c r="T86" s="109"/>
      <c r="U86" s="109"/>
      <c r="V86" s="363" t="s">
        <v>2584</v>
      </c>
      <c r="W86" s="363" t="s">
        <v>2584</v>
      </c>
      <c r="X86" s="363" t="s">
        <v>2584</v>
      </c>
      <c r="Y86" s="364" t="s">
        <v>1714</v>
      </c>
      <c r="Z86" s="364"/>
    </row>
    <row r="87" spans="2:26" ht="12.75">
      <c r="B87" s="109">
        <v>10</v>
      </c>
      <c r="C87" s="466"/>
      <c r="D87" s="364" t="s">
        <v>1219</v>
      </c>
      <c r="E87" s="110"/>
      <c r="F87" s="363" t="s">
        <v>2584</v>
      </c>
      <c r="G87" s="109"/>
      <c r="H87" s="364" t="s">
        <v>2047</v>
      </c>
      <c r="I87" s="109"/>
      <c r="J87" s="363" t="s">
        <v>2584</v>
      </c>
      <c r="K87" s="364" t="s">
        <v>2047</v>
      </c>
      <c r="L87" s="364"/>
      <c r="M87" s="363" t="s">
        <v>2584</v>
      </c>
      <c r="N87" s="362"/>
      <c r="O87" s="109"/>
      <c r="P87" s="364" t="s">
        <v>1258</v>
      </c>
      <c r="Q87" s="109"/>
      <c r="R87" s="363"/>
      <c r="S87" s="109"/>
      <c r="T87" s="109"/>
      <c r="U87" s="109"/>
      <c r="V87" s="363" t="s">
        <v>2584</v>
      </c>
      <c r="W87" s="363" t="s">
        <v>2584</v>
      </c>
      <c r="X87" s="363" t="s">
        <v>2584</v>
      </c>
      <c r="Y87" s="364" t="s">
        <v>2045</v>
      </c>
      <c r="Z87" s="364"/>
    </row>
    <row r="88" spans="2:26" ht="12.75">
      <c r="B88" s="109">
        <v>11</v>
      </c>
      <c r="C88" s="252" t="s">
        <v>2584</v>
      </c>
      <c r="D88" s="109"/>
      <c r="E88" s="363" t="s">
        <v>2584</v>
      </c>
      <c r="F88" s="363" t="s">
        <v>2584</v>
      </c>
      <c r="G88" s="110"/>
      <c r="H88" s="364" t="s">
        <v>1234</v>
      </c>
      <c r="I88" s="109"/>
      <c r="J88" s="363" t="s">
        <v>2584</v>
      </c>
      <c r="K88" s="364" t="s">
        <v>1234</v>
      </c>
      <c r="L88" s="364"/>
      <c r="M88" s="363" t="s">
        <v>2584</v>
      </c>
      <c r="N88" s="109"/>
      <c r="O88" s="362"/>
      <c r="P88" s="364" t="s">
        <v>1259</v>
      </c>
      <c r="Q88" s="109"/>
      <c r="R88" s="363"/>
      <c r="S88" s="109"/>
      <c r="T88" s="362"/>
      <c r="U88" s="362"/>
      <c r="V88" s="363" t="s">
        <v>2584</v>
      </c>
      <c r="W88" s="363" t="s">
        <v>2584</v>
      </c>
      <c r="X88" s="363" t="s">
        <v>2584</v>
      </c>
      <c r="Y88" s="364" t="s">
        <v>1234</v>
      </c>
      <c r="Z88" s="364"/>
    </row>
    <row r="89" spans="2:26" ht="12.75">
      <c r="B89" s="109">
        <v>12</v>
      </c>
      <c r="C89" s="252" t="s">
        <v>2584</v>
      </c>
      <c r="D89" s="109"/>
      <c r="E89" s="363" t="s">
        <v>2584</v>
      </c>
      <c r="F89" s="363" t="s">
        <v>2584</v>
      </c>
      <c r="G89" s="363" t="s">
        <v>2584</v>
      </c>
      <c r="H89" s="364" t="s">
        <v>2034</v>
      </c>
      <c r="I89" s="362"/>
      <c r="J89" s="363" t="s">
        <v>2584</v>
      </c>
      <c r="K89" s="364" t="s">
        <v>2034</v>
      </c>
      <c r="L89" s="364"/>
      <c r="M89" s="363" t="s">
        <v>2584</v>
      </c>
      <c r="N89" s="110"/>
      <c r="O89" s="109"/>
      <c r="P89" s="364" t="s">
        <v>1260</v>
      </c>
      <c r="Q89" s="362"/>
      <c r="R89" s="363"/>
      <c r="S89" s="362"/>
      <c r="T89" s="109"/>
      <c r="U89" s="109"/>
      <c r="V89" s="363" t="s">
        <v>2584</v>
      </c>
      <c r="W89" s="363" t="s">
        <v>2584</v>
      </c>
      <c r="X89" s="363" t="s">
        <v>2584</v>
      </c>
      <c r="Y89" s="364" t="s">
        <v>2032</v>
      </c>
      <c r="Z89" s="364"/>
    </row>
    <row r="90" spans="2:26" ht="12.75">
      <c r="B90" s="109">
        <v>13</v>
      </c>
      <c r="C90" s="252" t="s">
        <v>2584</v>
      </c>
      <c r="D90" s="362"/>
      <c r="E90" s="362"/>
      <c r="F90" s="362"/>
      <c r="G90" s="363" t="s">
        <v>2584</v>
      </c>
      <c r="H90" s="364" t="s">
        <v>1235</v>
      </c>
      <c r="I90" s="109"/>
      <c r="J90" s="362"/>
      <c r="K90" s="364" t="s">
        <v>1239</v>
      </c>
      <c r="L90" s="364"/>
      <c r="M90" s="363" t="s">
        <v>2584</v>
      </c>
      <c r="N90" s="363" t="s">
        <v>2584</v>
      </c>
      <c r="O90" s="110"/>
      <c r="P90" s="364" t="s">
        <v>1261</v>
      </c>
      <c r="Q90" s="109"/>
      <c r="R90" s="363"/>
      <c r="S90" s="109"/>
      <c r="T90" s="110"/>
      <c r="U90" s="110"/>
      <c r="V90" s="363" t="s">
        <v>2584</v>
      </c>
      <c r="W90" s="363" t="s">
        <v>2584</v>
      </c>
      <c r="X90" s="363" t="s">
        <v>2584</v>
      </c>
      <c r="Y90" s="364" t="s">
        <v>1715</v>
      </c>
      <c r="Z90" s="364"/>
    </row>
    <row r="91" spans="2:26" ht="12.75">
      <c r="B91" s="109">
        <v>14</v>
      </c>
      <c r="C91" s="252" t="s">
        <v>2584</v>
      </c>
      <c r="D91" s="109"/>
      <c r="E91" s="363" t="s">
        <v>2584</v>
      </c>
      <c r="F91" s="363" t="s">
        <v>2584</v>
      </c>
      <c r="G91" s="363" t="s">
        <v>2584</v>
      </c>
      <c r="H91" s="109"/>
      <c r="I91" s="110"/>
      <c r="J91" s="363" t="s">
        <v>2584</v>
      </c>
      <c r="K91" s="109"/>
      <c r="L91" s="363"/>
      <c r="M91" s="363" t="s">
        <v>2584</v>
      </c>
      <c r="N91" s="363" t="s">
        <v>2584</v>
      </c>
      <c r="O91" s="363" t="s">
        <v>2584</v>
      </c>
      <c r="P91" s="109"/>
      <c r="Q91" s="110"/>
      <c r="R91" s="363"/>
      <c r="S91" s="110"/>
      <c r="T91" s="363" t="s">
        <v>2584</v>
      </c>
      <c r="U91" s="363" t="s">
        <v>2584</v>
      </c>
      <c r="V91" s="363" t="s">
        <v>2584</v>
      </c>
      <c r="W91" s="363" t="s">
        <v>2584</v>
      </c>
      <c r="X91" s="363" t="s">
        <v>2584</v>
      </c>
      <c r="Y91" s="109"/>
      <c r="Z91" s="363" t="s">
        <v>2584</v>
      </c>
    </row>
    <row r="92" spans="2:26" ht="12.75">
      <c r="B92" s="110">
        <v>15</v>
      </c>
      <c r="C92" s="470" t="s">
        <v>2584</v>
      </c>
      <c r="D92" s="110"/>
      <c r="E92" s="385" t="s">
        <v>2584</v>
      </c>
      <c r="F92" s="385" t="s">
        <v>2584</v>
      </c>
      <c r="G92" s="385" t="s">
        <v>2584</v>
      </c>
      <c r="H92" s="110"/>
      <c r="I92" s="385" t="s">
        <v>2584</v>
      </c>
      <c r="J92" s="385" t="s">
        <v>2584</v>
      </c>
      <c r="K92" s="110"/>
      <c r="L92" s="385"/>
      <c r="M92" s="385" t="s">
        <v>2584</v>
      </c>
      <c r="N92" s="385" t="s">
        <v>2584</v>
      </c>
      <c r="O92" s="385" t="s">
        <v>2584</v>
      </c>
      <c r="P92" s="110"/>
      <c r="Q92" s="385" t="s">
        <v>2584</v>
      </c>
      <c r="R92" s="385"/>
      <c r="S92" s="385" t="s">
        <v>2584</v>
      </c>
      <c r="T92" s="385" t="s">
        <v>2584</v>
      </c>
      <c r="U92" s="385" t="s">
        <v>2584</v>
      </c>
      <c r="V92" s="385" t="s">
        <v>2584</v>
      </c>
      <c r="W92" s="385" t="s">
        <v>2584</v>
      </c>
      <c r="X92" s="385" t="s">
        <v>2584</v>
      </c>
      <c r="Y92" s="110"/>
      <c r="Z92" s="385" t="s">
        <v>2584</v>
      </c>
    </row>
    <row r="93" spans="1:27" ht="12.75">
      <c r="A93" s="22"/>
      <c r="B93" s="485"/>
      <c r="C93" s="486"/>
      <c r="D93" s="124"/>
      <c r="E93" s="22"/>
      <c r="F93" s="22"/>
      <c r="G93" s="22"/>
      <c r="H93" s="124"/>
      <c r="I93" s="22"/>
      <c r="J93" s="22"/>
      <c r="K93" s="124"/>
      <c r="L93" s="22"/>
      <c r="M93" s="22"/>
      <c r="N93" s="22"/>
      <c r="O93" s="22"/>
      <c r="P93" s="124"/>
      <c r="Q93" s="22"/>
      <c r="R93" s="22"/>
      <c r="S93" s="22"/>
      <c r="T93" s="22"/>
      <c r="U93" s="22"/>
      <c r="V93" s="22"/>
      <c r="W93" s="22"/>
      <c r="X93" s="22"/>
      <c r="Y93" s="124"/>
      <c r="Z93" s="22"/>
      <c r="AA93" s="22"/>
    </row>
    <row r="94" spans="1:27" ht="12.75">
      <c r="A94" s="22"/>
      <c r="B94" s="485"/>
      <c r="C94" s="486"/>
      <c r="D94" s="124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2.75">
      <c r="A95" s="22"/>
      <c r="B95" s="485"/>
      <c r="C95" s="486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2.75">
      <c r="A96" s="22"/>
      <c r="B96" s="22"/>
      <c r="C96" s="486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8"/>
  <dimension ref="B1:L278"/>
  <sheetViews>
    <sheetView zoomScale="75" zoomScaleNormal="75" workbookViewId="0" topLeftCell="A80">
      <selection activeCell="H105" sqref="H105"/>
    </sheetView>
  </sheetViews>
  <sheetFormatPr defaultColWidth="9.33203125" defaultRowHeight="12.75"/>
  <cols>
    <col min="1" max="1" width="3.83203125" style="0" customWidth="1"/>
    <col min="2" max="2" width="31.33203125" style="41" customWidth="1"/>
    <col min="3" max="3" width="9.83203125" style="41" customWidth="1"/>
    <col min="4" max="4" width="4.66015625" style="41" customWidth="1"/>
    <col min="5" max="5" width="6.83203125" style="41" customWidth="1"/>
    <col min="6" max="6" width="14.33203125" style="41" bestFit="1" customWidth="1"/>
    <col min="7" max="7" width="3.83203125" style="41" customWidth="1"/>
    <col min="8" max="8" width="25.33203125" style="41" bestFit="1" customWidth="1"/>
    <col min="9" max="9" width="23.33203125" style="41" bestFit="1" customWidth="1"/>
    <col min="10" max="10" width="6.16015625" style="41" bestFit="1" customWidth="1"/>
    <col min="11" max="11" width="7" style="41" bestFit="1" customWidth="1"/>
    <col min="12" max="12" width="5.33203125" style="41" bestFit="1" customWidth="1"/>
    <col min="13" max="16384" width="9.83203125" style="41" customWidth="1"/>
  </cols>
  <sheetData>
    <row r="1" spans="2:6" ht="12.75">
      <c r="B1"/>
      <c r="C1"/>
      <c r="D1"/>
      <c r="E1"/>
      <c r="F1"/>
    </row>
    <row r="2" spans="2:12" ht="12.75">
      <c r="B2" s="357" t="s">
        <v>2476</v>
      </c>
      <c r="C2" s="93" t="s">
        <v>2420</v>
      </c>
      <c r="D2" s="93" t="s">
        <v>2423</v>
      </c>
      <c r="E2" s="58" t="s">
        <v>162</v>
      </c>
      <c r="F2" s="58" t="s">
        <v>766</v>
      </c>
      <c r="H2" s="358" t="s">
        <v>1725</v>
      </c>
      <c r="I2" s="359" t="s">
        <v>2476</v>
      </c>
      <c r="J2" s="360" t="s">
        <v>2419</v>
      </c>
      <c r="K2" s="360" t="s">
        <v>1189</v>
      </c>
      <c r="L2" s="48" t="s">
        <v>2385</v>
      </c>
    </row>
    <row r="3" spans="2:12" ht="12.75">
      <c r="B3" s="180" t="s">
        <v>2675</v>
      </c>
      <c r="C3" s="127" t="s">
        <v>2393</v>
      </c>
      <c r="D3" s="127">
        <v>0</v>
      </c>
      <c r="E3" s="127" t="s">
        <v>2415</v>
      </c>
      <c r="F3" s="38" t="s">
        <v>816</v>
      </c>
      <c r="H3" s="180" t="s">
        <v>1241</v>
      </c>
      <c r="I3" s="22" t="s">
        <v>2631</v>
      </c>
      <c r="J3" s="127">
        <v>5</v>
      </c>
      <c r="K3" s="127">
        <v>2</v>
      </c>
      <c r="L3" s="38">
        <v>100</v>
      </c>
    </row>
    <row r="4" spans="2:12" ht="12.75">
      <c r="B4" s="180" t="s">
        <v>2614</v>
      </c>
      <c r="C4" s="127" t="s">
        <v>2390</v>
      </c>
      <c r="D4" s="127">
        <v>0</v>
      </c>
      <c r="E4" s="127" t="s">
        <v>764</v>
      </c>
      <c r="F4" s="38" t="s">
        <v>817</v>
      </c>
      <c r="H4" s="180" t="s">
        <v>1208</v>
      </c>
      <c r="I4" s="22" t="s">
        <v>2611</v>
      </c>
      <c r="J4" s="127">
        <v>3</v>
      </c>
      <c r="K4" s="127">
        <v>2</v>
      </c>
      <c r="L4" s="38">
        <v>100</v>
      </c>
    </row>
    <row r="5" spans="2:12" ht="12.75">
      <c r="B5" s="180" t="s">
        <v>2618</v>
      </c>
      <c r="C5" s="127" t="s">
        <v>2390</v>
      </c>
      <c r="D5" s="127">
        <v>0</v>
      </c>
      <c r="E5" s="127" t="s">
        <v>2415</v>
      </c>
      <c r="F5" s="38" t="s">
        <v>737</v>
      </c>
      <c r="H5" s="180" t="s">
        <v>1223</v>
      </c>
      <c r="I5" s="22" t="s">
        <v>2669</v>
      </c>
      <c r="J5" s="127">
        <v>11</v>
      </c>
      <c r="K5" s="127">
        <v>2</v>
      </c>
      <c r="L5" s="38">
        <v>100</v>
      </c>
    </row>
    <row r="6" spans="2:12" ht="12.75">
      <c r="B6" s="180" t="s">
        <v>2611</v>
      </c>
      <c r="C6" s="127" t="s">
        <v>2394</v>
      </c>
      <c r="D6" s="127">
        <v>0</v>
      </c>
      <c r="E6" s="127" t="s">
        <v>2415</v>
      </c>
      <c r="F6" s="38" t="s">
        <v>817</v>
      </c>
      <c r="H6" s="180" t="s">
        <v>1229</v>
      </c>
      <c r="I6" s="22" t="s">
        <v>2670</v>
      </c>
      <c r="J6" s="127">
        <v>6</v>
      </c>
      <c r="K6" s="127">
        <v>1</v>
      </c>
      <c r="L6" s="38">
        <v>100</v>
      </c>
    </row>
    <row r="7" spans="2:12" ht="12.75">
      <c r="B7" s="180" t="s">
        <v>2670</v>
      </c>
      <c r="C7" s="127" t="s">
        <v>2393</v>
      </c>
      <c r="D7" s="127">
        <v>0</v>
      </c>
      <c r="E7" s="127" t="s">
        <v>2415</v>
      </c>
      <c r="F7" s="38" t="s">
        <v>817</v>
      </c>
      <c r="H7" s="180" t="s">
        <v>2020</v>
      </c>
      <c r="I7" s="22" t="s">
        <v>2627</v>
      </c>
      <c r="J7" s="127">
        <v>5</v>
      </c>
      <c r="K7" s="127" t="s">
        <v>2019</v>
      </c>
      <c r="L7" s="38">
        <v>100</v>
      </c>
    </row>
    <row r="8" spans="2:12" ht="12.75">
      <c r="B8" s="180" t="s">
        <v>163</v>
      </c>
      <c r="C8" s="127" t="s">
        <v>2393</v>
      </c>
      <c r="D8" s="127">
        <v>0</v>
      </c>
      <c r="E8" s="127" t="s">
        <v>2415</v>
      </c>
      <c r="F8" s="38" t="s">
        <v>817</v>
      </c>
      <c r="H8" s="180" t="s">
        <v>2021</v>
      </c>
      <c r="I8" s="22" t="s">
        <v>2627</v>
      </c>
      <c r="J8" s="127">
        <v>9</v>
      </c>
      <c r="K8" s="127" t="s">
        <v>2019</v>
      </c>
      <c r="L8" s="38">
        <v>100</v>
      </c>
    </row>
    <row r="9" spans="2:12" ht="12.75">
      <c r="B9" s="180" t="s">
        <v>2610</v>
      </c>
      <c r="C9" s="127" t="s">
        <v>2395</v>
      </c>
      <c r="D9" s="127">
        <v>0</v>
      </c>
      <c r="E9" s="127" t="s">
        <v>2415</v>
      </c>
      <c r="F9" s="38" t="s">
        <v>817</v>
      </c>
      <c r="H9" s="180" t="s">
        <v>1711</v>
      </c>
      <c r="I9" s="22" t="s">
        <v>2691</v>
      </c>
      <c r="J9" s="127">
        <v>6</v>
      </c>
      <c r="K9" s="127">
        <v>0</v>
      </c>
      <c r="L9" s="38">
        <v>100</v>
      </c>
    </row>
    <row r="10" spans="2:12" ht="12.75">
      <c r="B10" s="180" t="s">
        <v>84</v>
      </c>
      <c r="C10" s="127" t="s">
        <v>2395</v>
      </c>
      <c r="D10" s="127">
        <v>0</v>
      </c>
      <c r="E10" s="127" t="s">
        <v>764</v>
      </c>
      <c r="F10" s="38" t="s">
        <v>817</v>
      </c>
      <c r="H10" s="180" t="s">
        <v>2035</v>
      </c>
      <c r="I10" s="22" t="s">
        <v>2629</v>
      </c>
      <c r="J10" s="127">
        <v>5</v>
      </c>
      <c r="K10" s="127">
        <v>3</v>
      </c>
      <c r="L10" s="38">
        <v>100</v>
      </c>
    </row>
    <row r="11" spans="2:12" ht="12.75">
      <c r="B11" s="180" t="s">
        <v>2698</v>
      </c>
      <c r="C11" s="127" t="s">
        <v>2394</v>
      </c>
      <c r="D11" s="127">
        <v>0</v>
      </c>
      <c r="E11" s="127" t="s">
        <v>2415</v>
      </c>
      <c r="F11" s="38" t="s">
        <v>818</v>
      </c>
      <c r="H11" s="475" t="s">
        <v>2036</v>
      </c>
      <c r="I11" s="483" t="s">
        <v>2629</v>
      </c>
      <c r="J11" s="476">
        <v>6</v>
      </c>
      <c r="K11" s="476">
        <v>3</v>
      </c>
      <c r="L11" s="482">
        <v>100</v>
      </c>
    </row>
    <row r="12" spans="2:12" ht="12.75">
      <c r="B12" s="180" t="s">
        <v>2648</v>
      </c>
      <c r="C12" s="127" t="s">
        <v>2395</v>
      </c>
      <c r="D12" s="127">
        <v>0</v>
      </c>
      <c r="E12" s="127" t="s">
        <v>2415</v>
      </c>
      <c r="F12" s="38" t="s">
        <v>817</v>
      </c>
      <c r="H12" s="475" t="s">
        <v>2037</v>
      </c>
      <c r="I12" s="483" t="s">
        <v>2629</v>
      </c>
      <c r="J12" s="476">
        <v>7</v>
      </c>
      <c r="K12" s="476">
        <v>3</v>
      </c>
      <c r="L12" s="482">
        <v>100</v>
      </c>
    </row>
    <row r="13" spans="2:12" ht="12.75">
      <c r="B13" s="180" t="s">
        <v>86</v>
      </c>
      <c r="C13" s="127" t="s">
        <v>2394</v>
      </c>
      <c r="D13" s="127">
        <v>0</v>
      </c>
      <c r="E13" s="127" t="s">
        <v>2415</v>
      </c>
      <c r="F13" s="38" t="s">
        <v>817</v>
      </c>
      <c r="H13" s="180" t="s">
        <v>1245</v>
      </c>
      <c r="I13" s="22" t="s">
        <v>2653</v>
      </c>
      <c r="J13" s="127">
        <v>6</v>
      </c>
      <c r="K13" s="127">
        <v>3</v>
      </c>
      <c r="L13" s="38">
        <v>100</v>
      </c>
    </row>
    <row r="14" spans="2:12" ht="12.75">
      <c r="B14" s="180" t="s">
        <v>2656</v>
      </c>
      <c r="C14" s="127" t="s">
        <v>2393</v>
      </c>
      <c r="D14" s="127">
        <v>0</v>
      </c>
      <c r="E14" s="127" t="s">
        <v>2415</v>
      </c>
      <c r="F14" s="38" t="s">
        <v>737</v>
      </c>
      <c r="H14" s="180" t="s">
        <v>1211</v>
      </c>
      <c r="I14" s="22" t="s">
        <v>2626</v>
      </c>
      <c r="J14" s="127">
        <v>5</v>
      </c>
      <c r="K14" s="127">
        <v>2</v>
      </c>
      <c r="L14" s="38">
        <v>100</v>
      </c>
    </row>
    <row r="15" spans="2:12" ht="12.75">
      <c r="B15" s="180" t="s">
        <v>2691</v>
      </c>
      <c r="C15" s="127" t="s">
        <v>2394</v>
      </c>
      <c r="D15" s="127">
        <v>0</v>
      </c>
      <c r="E15" s="127" t="s">
        <v>764</v>
      </c>
      <c r="F15" s="38" t="s">
        <v>817</v>
      </c>
      <c r="H15" s="180" t="s">
        <v>1209</v>
      </c>
      <c r="I15" s="22" t="s">
        <v>2611</v>
      </c>
      <c r="J15" s="127">
        <v>7</v>
      </c>
      <c r="K15" s="127">
        <v>4</v>
      </c>
      <c r="L15" s="38">
        <v>100</v>
      </c>
    </row>
    <row r="16" spans="2:12" ht="12.75">
      <c r="B16" s="180" t="s">
        <v>899</v>
      </c>
      <c r="C16" s="127" t="s">
        <v>2390</v>
      </c>
      <c r="D16" s="127">
        <v>0</v>
      </c>
      <c r="E16" s="127" t="s">
        <v>764</v>
      </c>
      <c r="F16" s="38" t="s">
        <v>739</v>
      </c>
      <c r="H16" s="180" t="s">
        <v>1236</v>
      </c>
      <c r="I16" s="22" t="s">
        <v>55</v>
      </c>
      <c r="J16" s="127">
        <v>7</v>
      </c>
      <c r="K16" s="127" t="s">
        <v>1763</v>
      </c>
      <c r="L16" s="38">
        <v>200</v>
      </c>
    </row>
    <row r="17" spans="2:12" ht="12.75">
      <c r="B17" s="180" t="s">
        <v>85</v>
      </c>
      <c r="C17" s="127" t="s">
        <v>2392</v>
      </c>
      <c r="D17" s="127">
        <v>0</v>
      </c>
      <c r="E17" s="127" t="s">
        <v>2415</v>
      </c>
      <c r="F17" s="38" t="s">
        <v>737</v>
      </c>
      <c r="H17" s="180" t="s">
        <v>1242</v>
      </c>
      <c r="I17" s="22" t="s">
        <v>2631</v>
      </c>
      <c r="J17" s="127">
        <v>9</v>
      </c>
      <c r="K17" s="127">
        <v>2</v>
      </c>
      <c r="L17" s="38">
        <v>100</v>
      </c>
    </row>
    <row r="18" spans="2:12" ht="12.75">
      <c r="B18" s="180" t="s">
        <v>142</v>
      </c>
      <c r="C18" s="127" t="s">
        <v>2584</v>
      </c>
      <c r="D18" s="127">
        <v>0</v>
      </c>
      <c r="E18" s="127" t="s">
        <v>2415</v>
      </c>
      <c r="F18" s="38" t="s">
        <v>738</v>
      </c>
      <c r="H18" s="180" t="s">
        <v>1262</v>
      </c>
      <c r="I18" s="22" t="s">
        <v>2609</v>
      </c>
      <c r="J18" s="127">
        <v>11</v>
      </c>
      <c r="K18" s="127">
        <v>2</v>
      </c>
      <c r="L18" s="38">
        <v>100</v>
      </c>
    </row>
    <row r="19" spans="2:12" ht="12.75">
      <c r="B19" s="180" t="s">
        <v>77</v>
      </c>
      <c r="C19" s="127" t="s">
        <v>2393</v>
      </c>
      <c r="D19" s="127">
        <v>0</v>
      </c>
      <c r="E19" s="127" t="s">
        <v>2415</v>
      </c>
      <c r="F19" s="38" t="s">
        <v>737</v>
      </c>
      <c r="H19" s="180" t="s">
        <v>1212</v>
      </c>
      <c r="I19" s="22" t="s">
        <v>13</v>
      </c>
      <c r="J19" s="127">
        <v>5</v>
      </c>
      <c r="K19" s="127">
        <v>2</v>
      </c>
      <c r="L19" s="38">
        <v>200</v>
      </c>
    </row>
    <row r="20" spans="2:12" ht="12.75">
      <c r="B20" s="180" t="s">
        <v>2588</v>
      </c>
      <c r="C20" s="127" t="s">
        <v>2393</v>
      </c>
      <c r="D20" s="127">
        <v>0</v>
      </c>
      <c r="E20" s="127" t="s">
        <v>2415</v>
      </c>
      <c r="F20" s="38" t="s">
        <v>737</v>
      </c>
      <c r="H20" s="180" t="s">
        <v>1246</v>
      </c>
      <c r="I20" s="22" t="s">
        <v>2611</v>
      </c>
      <c r="J20" s="127">
        <v>8</v>
      </c>
      <c r="K20" s="127">
        <v>4</v>
      </c>
      <c r="L20" s="38">
        <v>100</v>
      </c>
    </row>
    <row r="21" spans="2:12" ht="12.75">
      <c r="B21" s="180" t="s">
        <v>901</v>
      </c>
      <c r="C21" s="127" t="s">
        <v>2393</v>
      </c>
      <c r="D21" s="127">
        <v>0</v>
      </c>
      <c r="E21" s="127" t="s">
        <v>764</v>
      </c>
      <c r="F21" s="38" t="s">
        <v>821</v>
      </c>
      <c r="H21" s="180" t="s">
        <v>1240</v>
      </c>
      <c r="I21" s="22" t="s">
        <v>902</v>
      </c>
      <c r="J21" s="127">
        <v>6</v>
      </c>
      <c r="K21" s="127">
        <v>1</v>
      </c>
      <c r="L21" s="38">
        <v>100</v>
      </c>
    </row>
    <row r="22" spans="2:12" ht="12.75">
      <c r="B22" s="180" t="s">
        <v>155</v>
      </c>
      <c r="C22" s="127" t="s">
        <v>2391</v>
      </c>
      <c r="D22" s="127">
        <v>0</v>
      </c>
      <c r="E22" s="127" t="s">
        <v>2415</v>
      </c>
      <c r="F22" s="38" t="s">
        <v>818</v>
      </c>
      <c r="H22" s="180" t="s">
        <v>1698</v>
      </c>
      <c r="I22" s="22" t="s">
        <v>2609</v>
      </c>
      <c r="J22" s="127">
        <v>7</v>
      </c>
      <c r="K22" s="127">
        <f>K21+1</f>
        <v>2</v>
      </c>
      <c r="L22" s="38">
        <v>100</v>
      </c>
    </row>
    <row r="23" spans="2:12" ht="12.75">
      <c r="B23" s="180" t="s">
        <v>2609</v>
      </c>
      <c r="C23" s="127" t="s">
        <v>2390</v>
      </c>
      <c r="D23" s="127">
        <v>0</v>
      </c>
      <c r="E23" s="127" t="s">
        <v>2415</v>
      </c>
      <c r="F23" s="38" t="s">
        <v>737</v>
      </c>
      <c r="H23" s="180" t="s">
        <v>1716</v>
      </c>
      <c r="I23" s="22" t="s">
        <v>169</v>
      </c>
      <c r="J23" s="127">
        <v>5</v>
      </c>
      <c r="K23" s="127">
        <v>2</v>
      </c>
      <c r="L23" s="38">
        <v>100</v>
      </c>
    </row>
    <row r="24" spans="2:12" ht="12.75">
      <c r="B24" s="180" t="s">
        <v>13</v>
      </c>
      <c r="C24" s="127" t="s">
        <v>2390</v>
      </c>
      <c r="D24" s="127">
        <v>0</v>
      </c>
      <c r="E24" s="127" t="s">
        <v>2415</v>
      </c>
      <c r="F24" s="38" t="s">
        <v>816</v>
      </c>
      <c r="H24" s="180" t="s">
        <v>1243</v>
      </c>
      <c r="I24" s="22" t="s">
        <v>2612</v>
      </c>
      <c r="J24" s="127">
        <v>5</v>
      </c>
      <c r="K24" s="127">
        <v>2</v>
      </c>
      <c r="L24" s="38">
        <v>100</v>
      </c>
    </row>
    <row r="25" spans="2:12" ht="12.75">
      <c r="B25" s="180" t="s">
        <v>65</v>
      </c>
      <c r="C25" s="127" t="s">
        <v>2395</v>
      </c>
      <c r="D25" s="127">
        <v>0</v>
      </c>
      <c r="E25" s="127" t="s">
        <v>2415</v>
      </c>
      <c r="F25" s="38" t="s">
        <v>816</v>
      </c>
      <c r="H25" s="180" t="s">
        <v>1220</v>
      </c>
      <c r="I25" s="22" t="s">
        <v>2677</v>
      </c>
      <c r="J25" s="127">
        <v>7</v>
      </c>
      <c r="K25" s="127">
        <v>1</v>
      </c>
      <c r="L25" s="38">
        <v>100</v>
      </c>
    </row>
    <row r="26" spans="2:12" ht="12.75">
      <c r="B26" s="180" t="s">
        <v>109</v>
      </c>
      <c r="C26" s="127" t="s">
        <v>2395</v>
      </c>
      <c r="D26" s="127">
        <v>0</v>
      </c>
      <c r="E26" s="127" t="s">
        <v>2415</v>
      </c>
      <c r="F26" s="38" t="s">
        <v>816</v>
      </c>
      <c r="H26" s="180" t="s">
        <v>1252</v>
      </c>
      <c r="I26" s="22" t="s">
        <v>2653</v>
      </c>
      <c r="J26" s="127">
        <v>7</v>
      </c>
      <c r="K26" s="127">
        <v>1</v>
      </c>
      <c r="L26" s="38">
        <v>100</v>
      </c>
    </row>
    <row r="27" spans="2:12" ht="12.75">
      <c r="B27" s="180" t="s">
        <v>2699</v>
      </c>
      <c r="C27" s="127" t="s">
        <v>2395</v>
      </c>
      <c r="D27" s="127">
        <v>0</v>
      </c>
      <c r="E27" s="127" t="s">
        <v>2415</v>
      </c>
      <c r="F27" s="38" t="s">
        <v>737</v>
      </c>
      <c r="H27" s="180" t="s">
        <v>1221</v>
      </c>
      <c r="I27" s="22" t="s">
        <v>2616</v>
      </c>
      <c r="J27" s="127">
        <v>4</v>
      </c>
      <c r="K27" s="127">
        <v>2</v>
      </c>
      <c r="L27" s="38">
        <v>100</v>
      </c>
    </row>
    <row r="28" spans="2:12" ht="12.75">
      <c r="B28" s="180" t="s">
        <v>2622</v>
      </c>
      <c r="C28" s="127" t="s">
        <v>2395</v>
      </c>
      <c r="D28" s="127">
        <v>0</v>
      </c>
      <c r="E28" s="127" t="s">
        <v>2415</v>
      </c>
      <c r="F28" s="38" t="s">
        <v>737</v>
      </c>
      <c r="H28" s="180" t="s">
        <v>1263</v>
      </c>
      <c r="I28" s="22" t="s">
        <v>2681</v>
      </c>
      <c r="J28" s="127">
        <v>5</v>
      </c>
      <c r="K28" s="127">
        <v>2</v>
      </c>
      <c r="L28" s="38">
        <v>100</v>
      </c>
    </row>
    <row r="29" spans="2:12" ht="12.75">
      <c r="B29" s="180" t="s">
        <v>116</v>
      </c>
      <c r="C29" s="127" t="s">
        <v>2392</v>
      </c>
      <c r="D29" s="127">
        <v>0</v>
      </c>
      <c r="E29" s="127" t="s">
        <v>2415</v>
      </c>
      <c r="F29" s="38" t="s">
        <v>817</v>
      </c>
      <c r="H29" s="180" t="s">
        <v>1264</v>
      </c>
      <c r="I29" s="22" t="s">
        <v>0</v>
      </c>
      <c r="J29" s="127">
        <v>7</v>
      </c>
      <c r="K29" s="127">
        <v>2</v>
      </c>
      <c r="L29" s="38">
        <v>200</v>
      </c>
    </row>
    <row r="30" spans="2:12" ht="12.75">
      <c r="B30" s="180" t="s">
        <v>66</v>
      </c>
      <c r="C30" s="127" t="s">
        <v>2392</v>
      </c>
      <c r="D30" s="127">
        <v>0</v>
      </c>
      <c r="E30" s="127" t="s">
        <v>764</v>
      </c>
      <c r="F30" s="38" t="s">
        <v>738</v>
      </c>
      <c r="H30" s="180" t="s">
        <v>2022</v>
      </c>
      <c r="I30" s="22" t="s">
        <v>2660</v>
      </c>
      <c r="J30" s="127">
        <v>5</v>
      </c>
      <c r="K30" s="127">
        <v>0</v>
      </c>
      <c r="L30" s="38">
        <v>100</v>
      </c>
    </row>
    <row r="31" spans="2:12" ht="12.75">
      <c r="B31" s="180" t="s">
        <v>68</v>
      </c>
      <c r="C31" s="127" t="s">
        <v>2390</v>
      </c>
      <c r="D31" s="127">
        <v>0</v>
      </c>
      <c r="E31" s="127" t="s">
        <v>2415</v>
      </c>
      <c r="F31" s="38" t="s">
        <v>816</v>
      </c>
      <c r="H31" s="180" t="s">
        <v>2023</v>
      </c>
      <c r="I31" s="22" t="s">
        <v>2660</v>
      </c>
      <c r="J31" s="127">
        <v>5</v>
      </c>
      <c r="K31" s="127">
        <v>0</v>
      </c>
      <c r="L31" s="38">
        <v>300</v>
      </c>
    </row>
    <row r="32" spans="2:12" ht="12.75">
      <c r="B32" s="180" t="s">
        <v>101</v>
      </c>
      <c r="C32" s="127" t="s">
        <v>2390</v>
      </c>
      <c r="D32" s="127">
        <v>0</v>
      </c>
      <c r="E32" s="127" t="s">
        <v>764</v>
      </c>
      <c r="F32" s="38" t="s">
        <v>817</v>
      </c>
      <c r="H32" s="180" t="s">
        <v>1237</v>
      </c>
      <c r="I32" s="22" t="s">
        <v>31</v>
      </c>
      <c r="J32" s="127">
        <v>9</v>
      </c>
      <c r="K32" s="127">
        <v>2</v>
      </c>
      <c r="L32" s="38">
        <v>200</v>
      </c>
    </row>
    <row r="33" spans="2:12" ht="12.75">
      <c r="B33" s="180" t="s">
        <v>129</v>
      </c>
      <c r="C33" s="127" t="s">
        <v>2393</v>
      </c>
      <c r="D33" s="127">
        <v>0</v>
      </c>
      <c r="E33" s="127" t="s">
        <v>2415</v>
      </c>
      <c r="F33" s="38" t="s">
        <v>819</v>
      </c>
      <c r="H33" s="180" t="s">
        <v>1268</v>
      </c>
      <c r="I33" s="22" t="s">
        <v>32</v>
      </c>
      <c r="J33" s="127">
        <v>8</v>
      </c>
      <c r="K33" s="127">
        <v>2</v>
      </c>
      <c r="L33" s="38">
        <v>200</v>
      </c>
    </row>
    <row r="34" spans="2:12" ht="12.75">
      <c r="B34" s="180" t="s">
        <v>2649</v>
      </c>
      <c r="C34" s="127" t="s">
        <v>2392</v>
      </c>
      <c r="D34" s="127">
        <v>0</v>
      </c>
      <c r="E34" s="127" t="s">
        <v>2415</v>
      </c>
      <c r="F34" s="38" t="s">
        <v>817</v>
      </c>
      <c r="H34" s="180" t="s">
        <v>1712</v>
      </c>
      <c r="I34" s="22" t="s">
        <v>2588</v>
      </c>
      <c r="J34" s="127">
        <v>5</v>
      </c>
      <c r="K34" s="127">
        <v>1</v>
      </c>
      <c r="L34" s="38">
        <v>100</v>
      </c>
    </row>
    <row r="35" spans="2:12" ht="12.75">
      <c r="B35" s="180" t="s">
        <v>90</v>
      </c>
      <c r="C35" s="127" t="s">
        <v>2391</v>
      </c>
      <c r="D35" s="127">
        <v>0</v>
      </c>
      <c r="E35" s="127" t="s">
        <v>764</v>
      </c>
      <c r="F35" s="38" t="s">
        <v>737</v>
      </c>
      <c r="H35" s="180" t="s">
        <v>1269</v>
      </c>
      <c r="I35" s="22" t="s">
        <v>1724</v>
      </c>
      <c r="J35" s="127">
        <v>9</v>
      </c>
      <c r="K35" s="127">
        <v>2</v>
      </c>
      <c r="L35" s="38">
        <v>100</v>
      </c>
    </row>
    <row r="36" spans="2:12" ht="12.75">
      <c r="B36" s="180" t="s">
        <v>902</v>
      </c>
      <c r="C36" s="127" t="s">
        <v>2391</v>
      </c>
      <c r="D36" s="127">
        <v>0</v>
      </c>
      <c r="E36" s="127" t="s">
        <v>2415</v>
      </c>
      <c r="F36" s="38" t="s">
        <v>737</v>
      </c>
      <c r="H36" s="180" t="s">
        <v>1270</v>
      </c>
      <c r="I36" s="22" t="s">
        <v>2617</v>
      </c>
      <c r="J36" s="127">
        <v>5</v>
      </c>
      <c r="K36" s="127">
        <v>1</v>
      </c>
      <c r="L36" s="38">
        <v>100</v>
      </c>
    </row>
    <row r="37" spans="2:12" ht="12.75">
      <c r="B37" s="180" t="s">
        <v>2676</v>
      </c>
      <c r="C37" s="127" t="s">
        <v>2394</v>
      </c>
      <c r="D37" s="127">
        <v>0</v>
      </c>
      <c r="E37" s="127" t="s">
        <v>764</v>
      </c>
      <c r="F37" s="38" t="s">
        <v>817</v>
      </c>
      <c r="H37" s="180" t="s">
        <v>1213</v>
      </c>
      <c r="I37" s="22" t="s">
        <v>2667</v>
      </c>
      <c r="J37" s="127">
        <v>7</v>
      </c>
      <c r="K37" s="127">
        <v>4</v>
      </c>
      <c r="L37" s="38">
        <v>100</v>
      </c>
    </row>
    <row r="38" spans="2:12" ht="12.75">
      <c r="B38" s="180" t="s">
        <v>2684</v>
      </c>
      <c r="C38" s="127" t="s">
        <v>2393</v>
      </c>
      <c r="D38" s="127">
        <v>0</v>
      </c>
      <c r="E38" s="127" t="s">
        <v>2415</v>
      </c>
      <c r="F38" s="38" t="s">
        <v>816</v>
      </c>
      <c r="H38" s="180" t="s">
        <v>1214</v>
      </c>
      <c r="I38" s="22" t="s">
        <v>1722</v>
      </c>
      <c r="J38" s="127">
        <v>8</v>
      </c>
      <c r="K38" s="127">
        <v>5</v>
      </c>
      <c r="L38" s="38">
        <v>100</v>
      </c>
    </row>
    <row r="39" spans="2:12" ht="12.75">
      <c r="B39" s="180" t="s">
        <v>2668</v>
      </c>
      <c r="C39" s="127" t="s">
        <v>2394</v>
      </c>
      <c r="D39" s="127">
        <v>0</v>
      </c>
      <c r="E39" s="127" t="s">
        <v>2415</v>
      </c>
      <c r="F39" s="38" t="s">
        <v>817</v>
      </c>
      <c r="H39" s="180" t="s">
        <v>1230</v>
      </c>
      <c r="I39" s="22" t="s">
        <v>2670</v>
      </c>
      <c r="J39" s="127">
        <v>5</v>
      </c>
      <c r="K39" s="127">
        <v>1</v>
      </c>
      <c r="L39" s="38">
        <v>100</v>
      </c>
    </row>
    <row r="40" spans="2:12" ht="12.75">
      <c r="B40" s="180" t="s">
        <v>35</v>
      </c>
      <c r="C40" s="127" t="s">
        <v>2393</v>
      </c>
      <c r="D40" s="127">
        <v>0</v>
      </c>
      <c r="E40" s="127" t="s">
        <v>2415</v>
      </c>
      <c r="F40" s="38" t="s">
        <v>817</v>
      </c>
      <c r="H40" s="180" t="s">
        <v>1703</v>
      </c>
      <c r="I40" s="22" t="s">
        <v>11</v>
      </c>
      <c r="J40" s="127">
        <v>7</v>
      </c>
      <c r="K40" s="127">
        <v>2</v>
      </c>
      <c r="L40" s="38">
        <v>200</v>
      </c>
    </row>
    <row r="41" spans="2:12" ht="12.75">
      <c r="B41" s="180" t="s">
        <v>61</v>
      </c>
      <c r="C41" s="127" t="s">
        <v>2394</v>
      </c>
      <c r="D41" s="127">
        <v>0</v>
      </c>
      <c r="E41" s="127" t="s">
        <v>2415</v>
      </c>
      <c r="F41" s="38" t="s">
        <v>816</v>
      </c>
      <c r="H41" s="180" t="s">
        <v>1704</v>
      </c>
      <c r="I41" s="22" t="s">
        <v>2657</v>
      </c>
      <c r="J41" s="127">
        <v>7</v>
      </c>
      <c r="K41" s="127">
        <v>2</v>
      </c>
      <c r="L41" s="38">
        <v>100</v>
      </c>
    </row>
    <row r="42" spans="2:12" ht="12.75">
      <c r="B42" s="180" t="s">
        <v>43</v>
      </c>
      <c r="C42" s="127" t="s">
        <v>2390</v>
      </c>
      <c r="D42" s="127">
        <v>0</v>
      </c>
      <c r="E42" s="127" t="s">
        <v>2415</v>
      </c>
      <c r="F42" s="38" t="s">
        <v>816</v>
      </c>
      <c r="H42" s="180" t="s">
        <v>1224</v>
      </c>
      <c r="I42" s="22" t="s">
        <v>2621</v>
      </c>
      <c r="J42" s="127">
        <v>6</v>
      </c>
      <c r="K42" s="127">
        <v>2</v>
      </c>
      <c r="L42" s="38">
        <v>200</v>
      </c>
    </row>
    <row r="43" spans="2:12" ht="12.75">
      <c r="B43" s="180" t="s">
        <v>904</v>
      </c>
      <c r="C43" s="127" t="s">
        <v>2390</v>
      </c>
      <c r="D43" s="127">
        <v>0</v>
      </c>
      <c r="E43" s="127" t="s">
        <v>2415</v>
      </c>
      <c r="F43" s="38" t="s">
        <v>737</v>
      </c>
      <c r="H43" s="180" t="s">
        <v>1225</v>
      </c>
      <c r="I43" s="22" t="s">
        <v>2639</v>
      </c>
      <c r="J43" s="127">
        <v>5</v>
      </c>
      <c r="K43" s="127">
        <v>3</v>
      </c>
      <c r="L43" s="38">
        <v>100</v>
      </c>
    </row>
    <row r="44" spans="2:12" ht="12.75">
      <c r="B44" s="180" t="s">
        <v>113</v>
      </c>
      <c r="C44" s="127" t="s">
        <v>2393</v>
      </c>
      <c r="D44" s="127">
        <v>0</v>
      </c>
      <c r="E44" s="127" t="s">
        <v>2415</v>
      </c>
      <c r="F44" s="38" t="s">
        <v>816</v>
      </c>
      <c r="H44" s="180" t="s">
        <v>1215</v>
      </c>
      <c r="I44" s="22" t="s">
        <v>2667</v>
      </c>
      <c r="J44" s="127">
        <v>3</v>
      </c>
      <c r="K44" s="127">
        <v>1</v>
      </c>
      <c r="L44" s="38">
        <v>100</v>
      </c>
    </row>
    <row r="45" spans="2:12" ht="12.75">
      <c r="B45" s="180" t="s">
        <v>2677</v>
      </c>
      <c r="C45" s="127" t="s">
        <v>2390</v>
      </c>
      <c r="D45" s="127">
        <v>0</v>
      </c>
      <c r="E45" s="127" t="s">
        <v>2415</v>
      </c>
      <c r="F45" s="38" t="s">
        <v>737</v>
      </c>
      <c r="H45" s="180" t="s">
        <v>1247</v>
      </c>
      <c r="I45" s="22" t="s">
        <v>2628</v>
      </c>
      <c r="J45" s="127">
        <v>7</v>
      </c>
      <c r="K45" s="127">
        <v>3</v>
      </c>
      <c r="L45" s="38">
        <v>100</v>
      </c>
    </row>
    <row r="46" spans="2:12" ht="12.75">
      <c r="B46" s="180" t="s">
        <v>119</v>
      </c>
      <c r="C46" s="127" t="s">
        <v>2394</v>
      </c>
      <c r="D46" s="127">
        <v>0</v>
      </c>
      <c r="E46" s="127" t="s">
        <v>2415</v>
      </c>
      <c r="F46" s="38" t="s">
        <v>737</v>
      </c>
      <c r="H46" s="180" t="s">
        <v>1253</v>
      </c>
      <c r="I46" s="22" t="s">
        <v>2629</v>
      </c>
      <c r="J46" s="127">
        <v>7</v>
      </c>
      <c r="K46" s="127">
        <v>1</v>
      </c>
      <c r="L46" s="38">
        <v>100</v>
      </c>
    </row>
    <row r="47" spans="2:12" ht="12.75">
      <c r="B47" s="180" t="s">
        <v>93</v>
      </c>
      <c r="C47" s="127" t="s">
        <v>2395</v>
      </c>
      <c r="D47" s="127">
        <v>0</v>
      </c>
      <c r="E47" s="127" t="s">
        <v>764</v>
      </c>
      <c r="F47" s="38" t="s">
        <v>817</v>
      </c>
      <c r="H47" s="180" t="s">
        <v>1248</v>
      </c>
      <c r="I47" s="22" t="s">
        <v>2652</v>
      </c>
      <c r="J47" s="127">
        <v>5</v>
      </c>
      <c r="K47" s="127">
        <v>2</v>
      </c>
      <c r="L47" s="38">
        <v>100</v>
      </c>
    </row>
    <row r="48" spans="2:12" ht="12.75">
      <c r="B48" s="180" t="s">
        <v>2621</v>
      </c>
      <c r="C48" s="127" t="s">
        <v>2391</v>
      </c>
      <c r="D48" s="127">
        <v>0</v>
      </c>
      <c r="E48" s="127" t="s">
        <v>2415</v>
      </c>
      <c r="F48" s="38" t="s">
        <v>738</v>
      </c>
      <c r="H48" s="487" t="s">
        <v>2024</v>
      </c>
      <c r="I48" s="483" t="s">
        <v>2627</v>
      </c>
      <c r="J48" s="476">
        <v>6</v>
      </c>
      <c r="K48" s="476" t="s">
        <v>1763</v>
      </c>
      <c r="L48" s="482">
        <v>100</v>
      </c>
    </row>
    <row r="49" spans="2:12" ht="12.75">
      <c r="B49" s="180" t="s">
        <v>29</v>
      </c>
      <c r="C49" s="127" t="s">
        <v>2390</v>
      </c>
      <c r="D49" s="127">
        <v>0</v>
      </c>
      <c r="E49" s="127" t="s">
        <v>764</v>
      </c>
      <c r="F49" s="38" t="s">
        <v>817</v>
      </c>
      <c r="H49" s="180" t="s">
        <v>2025</v>
      </c>
      <c r="I49" s="22" t="s">
        <v>2627</v>
      </c>
      <c r="J49" s="127">
        <v>7</v>
      </c>
      <c r="K49" s="127" t="s">
        <v>1763</v>
      </c>
      <c r="L49" s="38">
        <v>100</v>
      </c>
    </row>
    <row r="50" spans="2:12" ht="12.75">
      <c r="B50" s="180" t="s">
        <v>2616</v>
      </c>
      <c r="C50" s="127" t="s">
        <v>2391</v>
      </c>
      <c r="D50" s="127">
        <v>3</v>
      </c>
      <c r="E50" s="127" t="s">
        <v>764</v>
      </c>
      <c r="F50" s="38" t="s">
        <v>738</v>
      </c>
      <c r="H50" s="180" t="s">
        <v>1705</v>
      </c>
      <c r="I50" s="22" t="s">
        <v>2619</v>
      </c>
      <c r="J50" s="127">
        <v>3</v>
      </c>
      <c r="K50" s="127">
        <v>0</v>
      </c>
      <c r="L50" s="38">
        <v>100</v>
      </c>
    </row>
    <row r="51" spans="2:12" ht="12.75">
      <c r="B51" s="180" t="s">
        <v>2612</v>
      </c>
      <c r="C51" s="127" t="s">
        <v>2390</v>
      </c>
      <c r="D51" s="127">
        <v>0</v>
      </c>
      <c r="E51" s="127" t="s">
        <v>2415</v>
      </c>
      <c r="F51" s="38" t="s">
        <v>817</v>
      </c>
      <c r="H51" s="180" t="s">
        <v>2048</v>
      </c>
      <c r="I51" s="22" t="s">
        <v>2627</v>
      </c>
      <c r="J51" s="127">
        <v>6</v>
      </c>
      <c r="K51" s="127">
        <v>2</v>
      </c>
      <c r="L51" s="38">
        <v>100</v>
      </c>
    </row>
    <row r="52" spans="2:12" ht="12.75">
      <c r="B52" s="180" t="s">
        <v>48</v>
      </c>
      <c r="C52" s="127" t="s">
        <v>2390</v>
      </c>
      <c r="D52" s="127">
        <v>0</v>
      </c>
      <c r="E52" s="127" t="s">
        <v>2415</v>
      </c>
      <c r="F52" s="38" t="s">
        <v>737</v>
      </c>
      <c r="H52" s="487" t="s">
        <v>2049</v>
      </c>
      <c r="I52" s="483" t="s">
        <v>2627</v>
      </c>
      <c r="J52" s="476">
        <v>7</v>
      </c>
      <c r="K52" s="476">
        <v>2</v>
      </c>
      <c r="L52" s="482">
        <v>100</v>
      </c>
    </row>
    <row r="53" spans="2:12" ht="12.75">
      <c r="B53" s="180" t="s">
        <v>2697</v>
      </c>
      <c r="C53" s="127" t="s">
        <v>2394</v>
      </c>
      <c r="D53" s="127">
        <v>0</v>
      </c>
      <c r="E53" s="127" t="s">
        <v>2415</v>
      </c>
      <c r="F53" s="38" t="s">
        <v>817</v>
      </c>
      <c r="H53" s="180" t="s">
        <v>1721</v>
      </c>
      <c r="I53" s="22" t="s">
        <v>2680</v>
      </c>
      <c r="J53" s="127">
        <v>8</v>
      </c>
      <c r="K53" s="127">
        <v>2</v>
      </c>
      <c r="L53" s="38">
        <v>100</v>
      </c>
    </row>
    <row r="54" spans="2:12" ht="12.75">
      <c r="B54" s="180" t="s">
        <v>20</v>
      </c>
      <c r="C54" s="127" t="s">
        <v>2393</v>
      </c>
      <c r="D54" s="127">
        <v>0</v>
      </c>
      <c r="E54" s="127" t="s">
        <v>2415</v>
      </c>
      <c r="F54" s="38" t="s">
        <v>816</v>
      </c>
      <c r="H54" s="180" t="s">
        <v>1249</v>
      </c>
      <c r="I54" s="22" t="s">
        <v>26</v>
      </c>
      <c r="J54" s="127">
        <v>6</v>
      </c>
      <c r="K54" s="127">
        <v>2</v>
      </c>
      <c r="L54" s="38">
        <v>100</v>
      </c>
    </row>
    <row r="55" spans="2:12" ht="12.75">
      <c r="B55" s="180" t="s">
        <v>160</v>
      </c>
      <c r="C55" s="127" t="s">
        <v>2395</v>
      </c>
      <c r="D55" s="127">
        <v>10</v>
      </c>
      <c r="E55" s="127" t="s">
        <v>764</v>
      </c>
      <c r="F55" s="38" t="s">
        <v>817</v>
      </c>
      <c r="H55" s="180" t="s">
        <v>1231</v>
      </c>
      <c r="I55" s="22" t="s">
        <v>2697</v>
      </c>
      <c r="J55" s="127">
        <v>5</v>
      </c>
      <c r="K55" s="127">
        <v>2</v>
      </c>
      <c r="L55" s="38">
        <v>200</v>
      </c>
    </row>
    <row r="56" spans="2:12" ht="12.75">
      <c r="B56" s="180" t="s">
        <v>115</v>
      </c>
      <c r="C56" s="127" t="s">
        <v>2394</v>
      </c>
      <c r="D56" s="127">
        <v>0</v>
      </c>
      <c r="E56" s="127" t="s">
        <v>2415</v>
      </c>
      <c r="F56" s="38" t="s">
        <v>818</v>
      </c>
      <c r="H56" s="180" t="s">
        <v>1250</v>
      </c>
      <c r="I56" s="22" t="s">
        <v>26</v>
      </c>
      <c r="J56" s="127">
        <v>9</v>
      </c>
      <c r="K56" s="127">
        <v>4</v>
      </c>
      <c r="L56" s="38">
        <v>100</v>
      </c>
    </row>
    <row r="57" spans="2:12" ht="12.75">
      <c r="B57" s="180" t="s">
        <v>2660</v>
      </c>
      <c r="C57" s="127" t="s">
        <v>2393</v>
      </c>
      <c r="D57" s="127">
        <v>0</v>
      </c>
      <c r="E57" s="127" t="s">
        <v>2415</v>
      </c>
      <c r="F57" s="38" t="s">
        <v>816</v>
      </c>
      <c r="H57" s="180" t="s">
        <v>1699</v>
      </c>
      <c r="I57" s="22" t="s">
        <v>2636</v>
      </c>
      <c r="J57" s="127">
        <v>5</v>
      </c>
      <c r="K57" s="127">
        <v>0</v>
      </c>
      <c r="L57" s="38">
        <v>100</v>
      </c>
    </row>
    <row r="58" spans="2:12" ht="12.75">
      <c r="B58" s="180" t="s">
        <v>63</v>
      </c>
      <c r="C58" s="127" t="s">
        <v>2584</v>
      </c>
      <c r="D58" s="127">
        <v>0</v>
      </c>
      <c r="E58" s="127" t="s">
        <v>2415</v>
      </c>
      <c r="F58" s="38" t="s">
        <v>738</v>
      </c>
      <c r="H58" s="180" t="s">
        <v>1232</v>
      </c>
      <c r="I58" s="22" t="s">
        <v>2650</v>
      </c>
      <c r="J58" s="127">
        <v>5</v>
      </c>
      <c r="K58" s="127" t="s">
        <v>1763</v>
      </c>
      <c r="L58" s="38">
        <v>100</v>
      </c>
    </row>
    <row r="59" spans="2:12" ht="12.75">
      <c r="B59" s="180" t="s">
        <v>46</v>
      </c>
      <c r="C59" s="127" t="s">
        <v>2391</v>
      </c>
      <c r="D59" s="127">
        <v>0</v>
      </c>
      <c r="E59" s="127" t="s">
        <v>764</v>
      </c>
      <c r="F59" s="38" t="s">
        <v>738</v>
      </c>
      <c r="H59" s="180" t="s">
        <v>1706</v>
      </c>
      <c r="I59" s="22" t="s">
        <v>2657</v>
      </c>
      <c r="J59" s="127">
        <v>7</v>
      </c>
      <c r="K59" s="127">
        <v>0</v>
      </c>
      <c r="L59" s="38">
        <v>100</v>
      </c>
    </row>
    <row r="60" spans="2:12" ht="12.75">
      <c r="B60" s="180" t="s">
        <v>2671</v>
      </c>
      <c r="C60" s="127" t="s">
        <v>2394</v>
      </c>
      <c r="D60" s="127">
        <v>0</v>
      </c>
      <c r="E60" s="127" t="s">
        <v>2415</v>
      </c>
      <c r="F60" s="38" t="s">
        <v>738</v>
      </c>
      <c r="H60" s="180" t="s">
        <v>1713</v>
      </c>
      <c r="I60" s="22" t="s">
        <v>34</v>
      </c>
      <c r="J60" s="127">
        <v>8</v>
      </c>
      <c r="K60" s="127">
        <v>2</v>
      </c>
      <c r="L60" s="38">
        <v>200</v>
      </c>
    </row>
    <row r="61" spans="2:12" ht="12.75">
      <c r="B61" s="180" t="s">
        <v>2557</v>
      </c>
      <c r="C61" s="127" t="s">
        <v>2390</v>
      </c>
      <c r="D61" s="127">
        <v>0</v>
      </c>
      <c r="E61" s="127" t="s">
        <v>2415</v>
      </c>
      <c r="F61" s="38" t="s">
        <v>818</v>
      </c>
      <c r="H61" s="180" t="s">
        <v>2051</v>
      </c>
      <c r="I61" s="22" t="s">
        <v>2660</v>
      </c>
      <c r="J61" s="127">
        <v>7</v>
      </c>
      <c r="K61" s="127">
        <v>0</v>
      </c>
      <c r="L61" s="38">
        <v>100</v>
      </c>
    </row>
    <row r="62" spans="2:12" ht="12.75">
      <c r="B62" s="180" t="s">
        <v>67</v>
      </c>
      <c r="C62" s="127" t="s">
        <v>2393</v>
      </c>
      <c r="D62" s="127">
        <v>0</v>
      </c>
      <c r="E62" s="127" t="s">
        <v>2415</v>
      </c>
      <c r="F62" s="38" t="s">
        <v>816</v>
      </c>
      <c r="H62" s="475" t="s">
        <v>2050</v>
      </c>
      <c r="I62" s="483" t="s">
        <v>2660</v>
      </c>
      <c r="J62" s="476">
        <v>7</v>
      </c>
      <c r="K62" s="476">
        <v>0</v>
      </c>
      <c r="L62" s="482">
        <v>300</v>
      </c>
    </row>
    <row r="63" spans="2:12" ht="12.75">
      <c r="B63" s="180" t="s">
        <v>133</v>
      </c>
      <c r="C63" s="127" t="s">
        <v>2393</v>
      </c>
      <c r="D63" s="127">
        <v>0</v>
      </c>
      <c r="E63" s="127" t="s">
        <v>764</v>
      </c>
      <c r="F63" s="38" t="s">
        <v>817</v>
      </c>
      <c r="H63" s="180" t="s">
        <v>1265</v>
      </c>
      <c r="I63" s="22" t="s">
        <v>2659</v>
      </c>
      <c r="J63" s="127">
        <v>8</v>
      </c>
      <c r="K63" s="127">
        <v>1</v>
      </c>
      <c r="L63" s="38">
        <v>200</v>
      </c>
    </row>
    <row r="64" spans="2:12" ht="12.75">
      <c r="B64" s="180" t="s">
        <v>10</v>
      </c>
      <c r="C64" s="127" t="s">
        <v>2393</v>
      </c>
      <c r="D64" s="127">
        <v>0</v>
      </c>
      <c r="E64" s="127" t="s">
        <v>2415</v>
      </c>
      <c r="F64" s="38" t="s">
        <v>816</v>
      </c>
      <c r="H64" s="180" t="s">
        <v>1700</v>
      </c>
      <c r="I64" s="22" t="s">
        <v>1058</v>
      </c>
      <c r="J64" s="127">
        <v>5</v>
      </c>
      <c r="K64" s="127">
        <v>1</v>
      </c>
      <c r="L64" s="38">
        <v>100</v>
      </c>
    </row>
    <row r="65" spans="2:12" ht="12.75">
      <c r="B65" s="180" t="s">
        <v>2683</v>
      </c>
      <c r="C65" s="127" t="s">
        <v>2393</v>
      </c>
      <c r="D65" s="127">
        <v>0</v>
      </c>
      <c r="E65" s="127" t="s">
        <v>2415</v>
      </c>
      <c r="F65" s="38" t="s">
        <v>816</v>
      </c>
      <c r="H65" s="475" t="s">
        <v>2028</v>
      </c>
      <c r="I65" s="483" t="s">
        <v>2627</v>
      </c>
      <c r="J65" s="476">
        <v>5</v>
      </c>
      <c r="K65" s="476" t="s">
        <v>1763</v>
      </c>
      <c r="L65" s="482">
        <v>100</v>
      </c>
    </row>
    <row r="66" spans="2:12" ht="12.75">
      <c r="B66" s="180" t="s">
        <v>102</v>
      </c>
      <c r="C66" s="127" t="s">
        <v>2393</v>
      </c>
      <c r="D66" s="127">
        <v>0</v>
      </c>
      <c r="E66" s="127" t="s">
        <v>2415</v>
      </c>
      <c r="F66" s="38" t="s">
        <v>816</v>
      </c>
      <c r="H66" s="180" t="s">
        <v>2029</v>
      </c>
      <c r="I66" s="22" t="s">
        <v>2627</v>
      </c>
      <c r="J66" s="127">
        <v>7</v>
      </c>
      <c r="K66" s="127" t="s">
        <v>1763</v>
      </c>
      <c r="L66" s="38">
        <v>100</v>
      </c>
    </row>
    <row r="67" spans="2:12" ht="12.75">
      <c r="B67" s="180" t="s">
        <v>2615</v>
      </c>
      <c r="C67" s="127" t="s">
        <v>2393</v>
      </c>
      <c r="D67" s="127">
        <v>0</v>
      </c>
      <c r="E67" s="127" t="s">
        <v>2415</v>
      </c>
      <c r="F67" s="38" t="s">
        <v>820</v>
      </c>
      <c r="H67" s="180" t="s">
        <v>1216</v>
      </c>
      <c r="I67" s="22" t="s">
        <v>2630</v>
      </c>
      <c r="J67" s="127">
        <v>5</v>
      </c>
      <c r="K67" s="127">
        <v>2</v>
      </c>
      <c r="L67" s="38">
        <v>100</v>
      </c>
    </row>
    <row r="68" spans="2:12" ht="12.75">
      <c r="B68" s="180" t="s">
        <v>18</v>
      </c>
      <c r="C68" s="127" t="s">
        <v>2390</v>
      </c>
      <c r="D68" s="127">
        <v>0</v>
      </c>
      <c r="E68" s="127" t="s">
        <v>2415</v>
      </c>
      <c r="F68" s="38" t="s">
        <v>816</v>
      </c>
      <c r="H68" s="180" t="s">
        <v>1244</v>
      </c>
      <c r="I68" s="22" t="s">
        <v>2588</v>
      </c>
      <c r="J68" s="127">
        <v>4</v>
      </c>
      <c r="K68" s="127">
        <v>1</v>
      </c>
      <c r="L68" s="38">
        <v>100</v>
      </c>
    </row>
    <row r="69" spans="2:12" ht="12.75">
      <c r="B69" s="180" t="s">
        <v>88</v>
      </c>
      <c r="C69" s="127" t="s">
        <v>2390</v>
      </c>
      <c r="D69" s="127">
        <v>0</v>
      </c>
      <c r="E69" s="127" t="s">
        <v>2415</v>
      </c>
      <c r="F69" s="38" t="s">
        <v>816</v>
      </c>
      <c r="H69" s="180" t="s">
        <v>1266</v>
      </c>
      <c r="I69" s="22" t="s">
        <v>2659</v>
      </c>
      <c r="J69" s="127">
        <v>7</v>
      </c>
      <c r="K69" s="127" t="s">
        <v>1763</v>
      </c>
      <c r="L69" s="38">
        <v>200</v>
      </c>
    </row>
    <row r="70" spans="2:12" ht="12.75">
      <c r="B70" s="180" t="s">
        <v>0</v>
      </c>
      <c r="C70" s="127" t="s">
        <v>2390</v>
      </c>
      <c r="D70" s="127">
        <v>0</v>
      </c>
      <c r="E70" s="127" t="s">
        <v>2415</v>
      </c>
      <c r="F70" s="38" t="s">
        <v>816</v>
      </c>
      <c r="H70" s="180" t="s">
        <v>2030</v>
      </c>
      <c r="I70" s="22" t="s">
        <v>2627</v>
      </c>
      <c r="J70" s="127">
        <v>5</v>
      </c>
      <c r="K70" s="127" t="s">
        <v>1763</v>
      </c>
      <c r="L70" s="38">
        <v>100</v>
      </c>
    </row>
    <row r="71" spans="2:12" ht="12.75">
      <c r="B71" s="180" t="s">
        <v>2613</v>
      </c>
      <c r="C71" s="127" t="s">
        <v>2393</v>
      </c>
      <c r="D71" s="127">
        <v>0</v>
      </c>
      <c r="E71" s="127" t="s">
        <v>2415</v>
      </c>
      <c r="F71" s="38" t="s">
        <v>816</v>
      </c>
      <c r="H71" s="487" t="s">
        <v>2031</v>
      </c>
      <c r="I71" s="483" t="s">
        <v>2627</v>
      </c>
      <c r="J71" s="476">
        <v>7</v>
      </c>
      <c r="K71" s="476" t="s">
        <v>1763</v>
      </c>
      <c r="L71" s="482">
        <v>100</v>
      </c>
    </row>
    <row r="72" spans="2:12" ht="12.75">
      <c r="B72" s="180" t="s">
        <v>2651</v>
      </c>
      <c r="C72" s="127" t="s">
        <v>2393</v>
      </c>
      <c r="D72" s="127">
        <v>0</v>
      </c>
      <c r="E72" s="127" t="s">
        <v>764</v>
      </c>
      <c r="F72" s="38" t="s">
        <v>817</v>
      </c>
      <c r="H72" s="487" t="s">
        <v>2038</v>
      </c>
      <c r="I72" s="483" t="s">
        <v>2700</v>
      </c>
      <c r="J72" s="476">
        <v>5</v>
      </c>
      <c r="K72" s="117">
        <v>0</v>
      </c>
      <c r="L72" s="482">
        <v>200</v>
      </c>
    </row>
    <row r="73" spans="2:12" ht="12.75">
      <c r="B73" s="180" t="s">
        <v>164</v>
      </c>
      <c r="C73" s="127" t="s">
        <v>2390</v>
      </c>
      <c r="D73" s="127">
        <v>0</v>
      </c>
      <c r="E73" s="127" t="s">
        <v>764</v>
      </c>
      <c r="F73" s="38" t="s">
        <v>816</v>
      </c>
      <c r="H73" s="180" t="s">
        <v>2039</v>
      </c>
      <c r="I73" s="22" t="s">
        <v>2700</v>
      </c>
      <c r="J73" s="127">
        <v>6</v>
      </c>
      <c r="K73" s="127">
        <v>0</v>
      </c>
      <c r="L73" s="38">
        <v>200</v>
      </c>
    </row>
    <row r="74" spans="2:12" ht="12.75">
      <c r="B74" s="180" t="s">
        <v>83</v>
      </c>
      <c r="C74" s="127" t="s">
        <v>2394</v>
      </c>
      <c r="D74" s="127">
        <v>0</v>
      </c>
      <c r="E74" s="127" t="s">
        <v>2415</v>
      </c>
      <c r="F74" s="38" t="s">
        <v>816</v>
      </c>
      <c r="H74" s="180" t="s">
        <v>1701</v>
      </c>
      <c r="I74" s="22" t="s">
        <v>2636</v>
      </c>
      <c r="J74" s="127">
        <v>7</v>
      </c>
      <c r="K74" s="127">
        <v>2</v>
      </c>
      <c r="L74" s="38">
        <v>100</v>
      </c>
    </row>
    <row r="75" spans="2:12" ht="12.75">
      <c r="B75" s="180" t="s">
        <v>2620</v>
      </c>
      <c r="C75" s="127" t="s">
        <v>2395</v>
      </c>
      <c r="D75" s="127">
        <v>0</v>
      </c>
      <c r="E75" s="127" t="s">
        <v>2415</v>
      </c>
      <c r="F75" s="38" t="s">
        <v>816</v>
      </c>
      <c r="H75" s="180" t="s">
        <v>1271</v>
      </c>
      <c r="I75" s="22" t="s">
        <v>2642</v>
      </c>
      <c r="J75" s="127">
        <v>6</v>
      </c>
      <c r="K75" s="127">
        <v>2</v>
      </c>
      <c r="L75" s="38">
        <v>100</v>
      </c>
    </row>
    <row r="76" spans="2:12" ht="12.75">
      <c r="B76" s="180" t="s">
        <v>2690</v>
      </c>
      <c r="C76" s="127" t="s">
        <v>2391</v>
      </c>
      <c r="D76" s="127">
        <v>3</v>
      </c>
      <c r="E76" s="127" t="s">
        <v>2415</v>
      </c>
      <c r="F76" s="38" t="s">
        <v>737</v>
      </c>
      <c r="H76" s="180" t="s">
        <v>1272</v>
      </c>
      <c r="I76" s="22" t="s">
        <v>2617</v>
      </c>
      <c r="J76" s="127">
        <v>6</v>
      </c>
      <c r="K76" s="127">
        <v>0</v>
      </c>
      <c r="L76" s="38">
        <v>100</v>
      </c>
    </row>
    <row r="77" spans="2:12" ht="12.75">
      <c r="B77" s="180" t="s">
        <v>2430</v>
      </c>
      <c r="C77" s="127" t="s">
        <v>2584</v>
      </c>
      <c r="D77" s="127">
        <v>0</v>
      </c>
      <c r="E77" s="127" t="s">
        <v>2415</v>
      </c>
      <c r="F77" s="38" t="s">
        <v>738</v>
      </c>
      <c r="H77" s="180" t="s">
        <v>1226</v>
      </c>
      <c r="I77" s="22" t="s">
        <v>2639</v>
      </c>
      <c r="J77" s="127">
        <v>6</v>
      </c>
      <c r="K77" s="127">
        <v>2</v>
      </c>
      <c r="L77" s="38">
        <v>100</v>
      </c>
    </row>
    <row r="78" spans="2:12" ht="12.75">
      <c r="B78" s="180" t="s">
        <v>22</v>
      </c>
      <c r="C78" s="127" t="s">
        <v>2584</v>
      </c>
      <c r="D78" s="127">
        <v>0</v>
      </c>
      <c r="E78" s="127" t="s">
        <v>2415</v>
      </c>
      <c r="F78" s="38" t="s">
        <v>738</v>
      </c>
      <c r="H78" s="180" t="s">
        <v>1217</v>
      </c>
      <c r="I78" s="22" t="s">
        <v>2630</v>
      </c>
      <c r="J78" s="127">
        <v>5</v>
      </c>
      <c r="K78" s="127">
        <v>2</v>
      </c>
      <c r="L78" s="38">
        <v>100</v>
      </c>
    </row>
    <row r="79" spans="2:12" ht="12.75">
      <c r="B79" s="180" t="s">
        <v>50</v>
      </c>
      <c r="C79" s="127" t="s">
        <v>2393</v>
      </c>
      <c r="D79" s="127">
        <v>0</v>
      </c>
      <c r="E79" s="127" t="s">
        <v>2415</v>
      </c>
      <c r="F79" s="38" t="s">
        <v>738</v>
      </c>
      <c r="H79" s="487" t="s">
        <v>2040</v>
      </c>
      <c r="I79" s="483" t="s">
        <v>2627</v>
      </c>
      <c r="J79" s="476">
        <v>5</v>
      </c>
      <c r="K79" s="476">
        <v>0</v>
      </c>
      <c r="L79" s="482">
        <v>100</v>
      </c>
    </row>
    <row r="80" spans="2:12" ht="12.75">
      <c r="B80" s="180" t="s">
        <v>165</v>
      </c>
      <c r="C80" s="127" t="s">
        <v>2394</v>
      </c>
      <c r="D80" s="127">
        <v>10</v>
      </c>
      <c r="E80" s="127" t="s">
        <v>764</v>
      </c>
      <c r="F80" s="38" t="s">
        <v>817</v>
      </c>
      <c r="H80" s="475" t="s">
        <v>2041</v>
      </c>
      <c r="I80" s="483" t="s">
        <v>2627</v>
      </c>
      <c r="J80" s="476">
        <v>6</v>
      </c>
      <c r="K80" s="476">
        <v>0</v>
      </c>
      <c r="L80" s="482">
        <v>100</v>
      </c>
    </row>
    <row r="81" spans="2:12" ht="12.75">
      <c r="B81" s="180" t="s">
        <v>33</v>
      </c>
      <c r="C81" s="127" t="s">
        <v>2584</v>
      </c>
      <c r="D81" s="127">
        <v>0</v>
      </c>
      <c r="E81" s="127" t="s">
        <v>2415</v>
      </c>
      <c r="F81" s="38" t="s">
        <v>816</v>
      </c>
      <c r="H81" s="180" t="s">
        <v>2042</v>
      </c>
      <c r="I81" s="22" t="s">
        <v>2627</v>
      </c>
      <c r="J81" s="127">
        <v>7</v>
      </c>
      <c r="K81" s="127">
        <v>0</v>
      </c>
      <c r="L81" s="38">
        <v>100</v>
      </c>
    </row>
    <row r="82" spans="2:12" ht="12.75">
      <c r="B82" s="180" t="s">
        <v>906</v>
      </c>
      <c r="C82" s="127" t="s">
        <v>2393</v>
      </c>
      <c r="D82" s="127">
        <v>0</v>
      </c>
      <c r="E82" s="127" t="s">
        <v>2415</v>
      </c>
      <c r="F82" s="38" t="s">
        <v>816</v>
      </c>
      <c r="H82" s="180" t="s">
        <v>1267</v>
      </c>
      <c r="I82" s="22" t="s">
        <v>2635</v>
      </c>
      <c r="J82" s="127">
        <v>5</v>
      </c>
      <c r="K82" s="127">
        <v>2</v>
      </c>
      <c r="L82" s="38">
        <v>100</v>
      </c>
    </row>
    <row r="83" spans="2:12" ht="12.75">
      <c r="B83" s="180" t="s">
        <v>156</v>
      </c>
      <c r="C83" s="127" t="s">
        <v>2393</v>
      </c>
      <c r="D83" s="127">
        <v>0</v>
      </c>
      <c r="E83" s="127" t="s">
        <v>2415</v>
      </c>
      <c r="F83" s="38" t="s">
        <v>737</v>
      </c>
      <c r="H83" s="180" t="s">
        <v>1238</v>
      </c>
      <c r="I83" s="22" t="s">
        <v>55</v>
      </c>
      <c r="J83" s="127">
        <v>7</v>
      </c>
      <c r="K83" s="127">
        <v>1</v>
      </c>
      <c r="L83" s="38">
        <v>200</v>
      </c>
    </row>
    <row r="84" spans="2:12" ht="12.75">
      <c r="B84" s="180" t="s">
        <v>2687</v>
      </c>
      <c r="C84" s="127" t="s">
        <v>2394</v>
      </c>
      <c r="D84" s="127">
        <v>0</v>
      </c>
      <c r="E84" s="127" t="s">
        <v>2415</v>
      </c>
      <c r="F84" s="38" t="s">
        <v>816</v>
      </c>
      <c r="H84" s="180" t="s">
        <v>1254</v>
      </c>
      <c r="I84" s="22" t="s">
        <v>2629</v>
      </c>
      <c r="J84" s="127">
        <v>5</v>
      </c>
      <c r="K84" s="127">
        <v>1</v>
      </c>
      <c r="L84" s="38">
        <v>100</v>
      </c>
    </row>
    <row r="85" spans="2:12" ht="12.75">
      <c r="B85" s="180" t="s">
        <v>2679</v>
      </c>
      <c r="C85" s="127" t="s">
        <v>2393</v>
      </c>
      <c r="D85" s="127">
        <v>0</v>
      </c>
      <c r="E85" s="127" t="s">
        <v>2415</v>
      </c>
      <c r="F85" s="38" t="s">
        <v>817</v>
      </c>
      <c r="H85" s="180" t="s">
        <v>79</v>
      </c>
      <c r="I85" s="22" t="s">
        <v>2659</v>
      </c>
      <c r="J85" s="127">
        <v>6</v>
      </c>
      <c r="K85" s="127">
        <v>1</v>
      </c>
      <c r="L85" s="38">
        <v>200</v>
      </c>
    </row>
    <row r="86" spans="2:12" ht="12.75">
      <c r="B86" s="180" t="s">
        <v>2617</v>
      </c>
      <c r="C86" s="127" t="s">
        <v>2395</v>
      </c>
      <c r="D86" s="127">
        <v>0</v>
      </c>
      <c r="E86" s="127" t="s">
        <v>2415</v>
      </c>
      <c r="F86" s="38" t="s">
        <v>817</v>
      </c>
      <c r="H86" s="180" t="s">
        <v>1702</v>
      </c>
      <c r="I86" s="22" t="s">
        <v>2636</v>
      </c>
      <c r="J86" s="127">
        <v>3</v>
      </c>
      <c r="K86" s="127">
        <v>0</v>
      </c>
      <c r="L86" s="38">
        <v>100</v>
      </c>
    </row>
    <row r="87" spans="2:12" ht="12.75">
      <c r="B87" s="180" t="s">
        <v>2661</v>
      </c>
      <c r="C87" s="127" t="s">
        <v>2394</v>
      </c>
      <c r="D87" s="127">
        <v>0</v>
      </c>
      <c r="E87" s="127" t="s">
        <v>2415</v>
      </c>
      <c r="F87" s="38" t="s">
        <v>738</v>
      </c>
      <c r="H87" s="180" t="s">
        <v>2043</v>
      </c>
      <c r="I87" s="22" t="s">
        <v>2626</v>
      </c>
      <c r="J87" s="127">
        <v>5</v>
      </c>
      <c r="K87" s="127">
        <f>K86+1</f>
        <v>1</v>
      </c>
      <c r="L87" s="38">
        <v>100</v>
      </c>
    </row>
    <row r="88" spans="2:12" ht="12.75">
      <c r="B88" s="180" t="s">
        <v>2674</v>
      </c>
      <c r="C88" s="127" t="s">
        <v>2395</v>
      </c>
      <c r="D88" s="127">
        <v>0</v>
      </c>
      <c r="E88" s="127" t="s">
        <v>2415</v>
      </c>
      <c r="F88" s="38" t="s">
        <v>738</v>
      </c>
      <c r="H88" s="180" t="s">
        <v>2044</v>
      </c>
      <c r="I88" s="22" t="s">
        <v>2659</v>
      </c>
      <c r="J88" s="127">
        <v>5</v>
      </c>
      <c r="K88" s="127">
        <v>1</v>
      </c>
      <c r="L88" s="38">
        <v>200</v>
      </c>
    </row>
    <row r="89" spans="2:12" ht="12.75">
      <c r="B89" s="180" t="s">
        <v>14</v>
      </c>
      <c r="C89" s="127" t="s">
        <v>2392</v>
      </c>
      <c r="D89" s="127">
        <v>0</v>
      </c>
      <c r="E89" s="127" t="s">
        <v>2415</v>
      </c>
      <c r="F89" s="38" t="s">
        <v>738</v>
      </c>
      <c r="H89" s="180" t="s">
        <v>1273</v>
      </c>
      <c r="I89" s="22" t="s">
        <v>2686</v>
      </c>
      <c r="J89" s="127">
        <v>8</v>
      </c>
      <c r="K89" s="127">
        <v>3</v>
      </c>
      <c r="L89" s="38">
        <v>200</v>
      </c>
    </row>
    <row r="90" spans="2:12" ht="12.75">
      <c r="B90" s="180" t="s">
        <v>907</v>
      </c>
      <c r="C90" s="127" t="s">
        <v>2393</v>
      </c>
      <c r="D90" s="127">
        <v>0</v>
      </c>
      <c r="E90" s="127" t="s">
        <v>2415</v>
      </c>
      <c r="F90" s="38" t="s">
        <v>817</v>
      </c>
      <c r="H90" s="180" t="s">
        <v>1714</v>
      </c>
      <c r="I90" s="22" t="s">
        <v>2676</v>
      </c>
      <c r="J90" s="127">
        <v>7</v>
      </c>
      <c r="K90" s="127">
        <v>2</v>
      </c>
      <c r="L90" s="38">
        <v>100</v>
      </c>
    </row>
    <row r="91" spans="2:12" ht="12.75">
      <c r="B91" s="180" t="s">
        <v>1</v>
      </c>
      <c r="C91" s="127" t="s">
        <v>2395</v>
      </c>
      <c r="D91" s="127">
        <v>0</v>
      </c>
      <c r="E91" s="127" t="s">
        <v>2415</v>
      </c>
      <c r="F91" s="38" t="s">
        <v>816</v>
      </c>
      <c r="H91" s="180" t="s">
        <v>1707</v>
      </c>
      <c r="I91" s="22" t="s">
        <v>2675</v>
      </c>
      <c r="J91" s="127">
        <v>11</v>
      </c>
      <c r="K91" s="127">
        <v>4</v>
      </c>
      <c r="L91" s="38">
        <v>100</v>
      </c>
    </row>
    <row r="92" spans="2:12" ht="12.75">
      <c r="B92" s="180" t="s">
        <v>125</v>
      </c>
      <c r="C92" s="127" t="s">
        <v>2584</v>
      </c>
      <c r="D92" s="127">
        <v>0</v>
      </c>
      <c r="E92" s="127" t="s">
        <v>2415</v>
      </c>
      <c r="F92" s="38" t="s">
        <v>738</v>
      </c>
      <c r="H92" s="180" t="s">
        <v>1255</v>
      </c>
      <c r="I92" s="22" t="s">
        <v>2653</v>
      </c>
      <c r="J92" s="127">
        <v>7</v>
      </c>
      <c r="K92" s="127">
        <v>3</v>
      </c>
      <c r="L92" s="38">
        <v>200</v>
      </c>
    </row>
    <row r="93" spans="2:12" ht="12.75">
      <c r="B93" s="180" t="s">
        <v>908</v>
      </c>
      <c r="C93" s="127" t="s">
        <v>2393</v>
      </c>
      <c r="D93" s="127">
        <v>0</v>
      </c>
      <c r="E93" s="127" t="s">
        <v>2415</v>
      </c>
      <c r="F93" s="38" t="s">
        <v>816</v>
      </c>
      <c r="H93" s="180" t="s">
        <v>1256</v>
      </c>
      <c r="I93" s="22" t="s">
        <v>2700</v>
      </c>
      <c r="J93" s="127">
        <v>7</v>
      </c>
      <c r="K93" s="127">
        <v>0</v>
      </c>
      <c r="L93" s="38">
        <v>200</v>
      </c>
    </row>
    <row r="94" spans="2:12" ht="12.75">
      <c r="B94" s="180" t="s">
        <v>140</v>
      </c>
      <c r="C94" s="127" t="s">
        <v>2390</v>
      </c>
      <c r="D94" s="127">
        <v>0</v>
      </c>
      <c r="E94" s="127" t="s">
        <v>2415</v>
      </c>
      <c r="F94" s="38" t="s">
        <v>818</v>
      </c>
      <c r="H94" s="180" t="s">
        <v>1708</v>
      </c>
      <c r="I94" s="22" t="s">
        <v>2675</v>
      </c>
      <c r="J94" s="127">
        <v>7</v>
      </c>
      <c r="K94" s="127">
        <v>2</v>
      </c>
      <c r="L94" s="38">
        <v>100</v>
      </c>
    </row>
    <row r="95" spans="2:12" ht="12.75">
      <c r="B95" s="180" t="s">
        <v>909</v>
      </c>
      <c r="C95" s="127" t="s">
        <v>2393</v>
      </c>
      <c r="D95" s="127">
        <v>0</v>
      </c>
      <c r="E95" s="127" t="s">
        <v>2415</v>
      </c>
      <c r="F95" s="38" t="s">
        <v>738</v>
      </c>
      <c r="H95" s="180" t="s">
        <v>1257</v>
      </c>
      <c r="I95" s="22" t="s">
        <v>924</v>
      </c>
      <c r="J95" s="127">
        <v>6</v>
      </c>
      <c r="K95" s="127">
        <v>2</v>
      </c>
      <c r="L95" s="38">
        <v>100</v>
      </c>
    </row>
    <row r="96" spans="2:12" ht="12.75">
      <c r="B96" s="180" t="s">
        <v>2658</v>
      </c>
      <c r="C96" s="127" t="s">
        <v>2393</v>
      </c>
      <c r="D96" s="127">
        <v>0</v>
      </c>
      <c r="E96" s="127" t="s">
        <v>2415</v>
      </c>
      <c r="F96" s="38" t="s">
        <v>816</v>
      </c>
      <c r="H96" s="180" t="s">
        <v>2026</v>
      </c>
      <c r="I96" s="22" t="s">
        <v>2633</v>
      </c>
      <c r="J96" s="127">
        <v>3</v>
      </c>
      <c r="K96" s="127">
        <v>2</v>
      </c>
      <c r="L96" s="38">
        <v>100</v>
      </c>
    </row>
    <row r="97" spans="2:12" ht="12.75">
      <c r="B97" s="180" t="s">
        <v>910</v>
      </c>
      <c r="C97" s="127" t="s">
        <v>2390</v>
      </c>
      <c r="D97" s="127">
        <v>0</v>
      </c>
      <c r="E97" s="127" t="s">
        <v>2415</v>
      </c>
      <c r="F97" s="38" t="s">
        <v>817</v>
      </c>
      <c r="H97" s="487" t="s">
        <v>2027</v>
      </c>
      <c r="I97" s="483" t="s">
        <v>2633</v>
      </c>
      <c r="J97" s="476">
        <v>5</v>
      </c>
      <c r="K97" s="476">
        <v>2</v>
      </c>
      <c r="L97" s="482">
        <v>100</v>
      </c>
    </row>
    <row r="98" spans="2:12" ht="12.75">
      <c r="B98" s="180" t="s">
        <v>2688</v>
      </c>
      <c r="C98" s="127" t="s">
        <v>2393</v>
      </c>
      <c r="D98" s="127">
        <v>0</v>
      </c>
      <c r="E98" s="127" t="s">
        <v>2415</v>
      </c>
      <c r="F98" s="38" t="s">
        <v>737</v>
      </c>
      <c r="H98" s="180" t="s">
        <v>1222</v>
      </c>
      <c r="I98" s="22" t="s">
        <v>2668</v>
      </c>
      <c r="J98" s="127">
        <v>7</v>
      </c>
      <c r="K98" s="127">
        <v>2</v>
      </c>
      <c r="L98" s="38">
        <v>100</v>
      </c>
    </row>
    <row r="99" spans="2:12" ht="12.75">
      <c r="B99" s="180" t="s">
        <v>911</v>
      </c>
      <c r="C99" s="127" t="s">
        <v>2390</v>
      </c>
      <c r="D99" s="127">
        <v>0</v>
      </c>
      <c r="E99" s="127" t="s">
        <v>764</v>
      </c>
      <c r="F99" s="38" t="s">
        <v>816</v>
      </c>
      <c r="H99" s="475" t="s">
        <v>2045</v>
      </c>
      <c r="I99" s="483" t="s">
        <v>2627</v>
      </c>
      <c r="J99" s="476">
        <v>5</v>
      </c>
      <c r="K99" s="476">
        <v>1</v>
      </c>
      <c r="L99" s="482">
        <v>100</v>
      </c>
    </row>
    <row r="100" spans="2:12" ht="12.75">
      <c r="B100" s="180" t="s">
        <v>24</v>
      </c>
      <c r="C100" s="127" t="s">
        <v>2393</v>
      </c>
      <c r="D100" s="127">
        <v>0</v>
      </c>
      <c r="E100" s="127" t="s">
        <v>764</v>
      </c>
      <c r="F100" s="38" t="s">
        <v>817</v>
      </c>
      <c r="H100" s="475" t="s">
        <v>2046</v>
      </c>
      <c r="I100" s="483" t="s">
        <v>2627</v>
      </c>
      <c r="J100" s="476">
        <v>6</v>
      </c>
      <c r="K100" s="476">
        <v>1</v>
      </c>
      <c r="L100" s="482">
        <v>100</v>
      </c>
    </row>
    <row r="101" spans="2:12" ht="12.75">
      <c r="B101" s="180" t="s">
        <v>45</v>
      </c>
      <c r="C101" s="127" t="s">
        <v>2394</v>
      </c>
      <c r="D101" s="127">
        <v>0</v>
      </c>
      <c r="E101" s="127" t="s">
        <v>2415</v>
      </c>
      <c r="F101" s="38" t="s">
        <v>739</v>
      </c>
      <c r="H101" s="180" t="s">
        <v>2047</v>
      </c>
      <c r="I101" s="22" t="s">
        <v>2627</v>
      </c>
      <c r="J101" s="127">
        <v>7</v>
      </c>
      <c r="K101" s="127">
        <v>1</v>
      </c>
      <c r="L101" s="38">
        <v>100</v>
      </c>
    </row>
    <row r="102" spans="2:12" ht="12.75">
      <c r="B102" s="180" t="s">
        <v>2681</v>
      </c>
      <c r="C102" s="127" t="s">
        <v>2395</v>
      </c>
      <c r="D102" s="127">
        <v>0</v>
      </c>
      <c r="E102" s="127" t="s">
        <v>2415</v>
      </c>
      <c r="F102" s="38" t="s">
        <v>817</v>
      </c>
      <c r="H102" s="180" t="s">
        <v>1709</v>
      </c>
      <c r="I102" s="22" t="s">
        <v>105</v>
      </c>
      <c r="J102" s="127">
        <v>7</v>
      </c>
      <c r="K102" s="127">
        <v>0</v>
      </c>
      <c r="L102" s="38">
        <v>300</v>
      </c>
    </row>
    <row r="103" spans="2:12" ht="12.75">
      <c r="B103" s="180" t="s">
        <v>2650</v>
      </c>
      <c r="C103" s="127" t="s">
        <v>2394</v>
      </c>
      <c r="D103" s="127">
        <v>0</v>
      </c>
      <c r="E103" s="127" t="s">
        <v>2415</v>
      </c>
      <c r="F103" s="38" t="s">
        <v>817</v>
      </c>
      <c r="H103" s="180" t="s">
        <v>1258</v>
      </c>
      <c r="I103" s="22" t="s">
        <v>18</v>
      </c>
      <c r="J103" s="127">
        <v>8</v>
      </c>
      <c r="K103" s="127">
        <v>2</v>
      </c>
      <c r="L103" s="38">
        <v>200</v>
      </c>
    </row>
    <row r="104" spans="2:12" ht="12.75">
      <c r="B104" s="180" t="s">
        <v>2628</v>
      </c>
      <c r="C104" s="127" t="s">
        <v>2392</v>
      </c>
      <c r="D104" s="127">
        <v>0</v>
      </c>
      <c r="E104" s="127" t="s">
        <v>2415</v>
      </c>
      <c r="F104" s="38" t="s">
        <v>817</v>
      </c>
      <c r="H104" s="180" t="s">
        <v>1695</v>
      </c>
      <c r="I104" s="22" t="s">
        <v>2617</v>
      </c>
      <c r="J104" s="127">
        <v>5</v>
      </c>
      <c r="K104" s="127" t="s">
        <v>1763</v>
      </c>
      <c r="L104" s="38">
        <v>100</v>
      </c>
    </row>
    <row r="105" spans="2:12" ht="12.75">
      <c r="B105" s="180" t="s">
        <v>2625</v>
      </c>
      <c r="C105" s="127" t="s">
        <v>2395</v>
      </c>
      <c r="D105" s="127">
        <v>0</v>
      </c>
      <c r="E105" s="127" t="s">
        <v>764</v>
      </c>
      <c r="F105" s="38" t="s">
        <v>817</v>
      </c>
      <c r="H105" s="180" t="s">
        <v>1234</v>
      </c>
      <c r="I105" s="22" t="s">
        <v>2627</v>
      </c>
      <c r="J105" s="127">
        <v>5</v>
      </c>
      <c r="K105" s="127">
        <v>0</v>
      </c>
      <c r="L105" s="38">
        <v>100</v>
      </c>
    </row>
    <row r="106" spans="2:12" ht="12.75">
      <c r="B106" s="180" t="s">
        <v>147</v>
      </c>
      <c r="C106" s="127" t="s">
        <v>2584</v>
      </c>
      <c r="D106" s="127">
        <v>0</v>
      </c>
      <c r="E106" s="127" t="s">
        <v>764</v>
      </c>
      <c r="F106" s="38" t="s">
        <v>738</v>
      </c>
      <c r="H106" s="475" t="s">
        <v>1234</v>
      </c>
      <c r="I106" s="484" t="s">
        <v>169</v>
      </c>
      <c r="J106" s="476">
        <v>5</v>
      </c>
      <c r="K106" s="476">
        <v>0</v>
      </c>
      <c r="L106" s="482">
        <v>100</v>
      </c>
    </row>
    <row r="107" spans="2:12" ht="12.75">
      <c r="B107" s="180" t="s">
        <v>2667</v>
      </c>
      <c r="C107" s="127" t="s">
        <v>2394</v>
      </c>
      <c r="D107" s="127">
        <v>3</v>
      </c>
      <c r="E107" s="127" t="s">
        <v>764</v>
      </c>
      <c r="F107" s="38" t="s">
        <v>739</v>
      </c>
      <c r="H107" s="180" t="s">
        <v>1259</v>
      </c>
      <c r="I107" s="22" t="s">
        <v>2653</v>
      </c>
      <c r="J107" s="127">
        <v>11</v>
      </c>
      <c r="K107" s="127">
        <v>4</v>
      </c>
      <c r="L107" s="38">
        <v>100</v>
      </c>
    </row>
    <row r="108" spans="2:12" ht="12.75">
      <c r="B108" s="180" t="s">
        <v>105</v>
      </c>
      <c r="C108" s="127" t="s">
        <v>2393</v>
      </c>
      <c r="D108" s="127">
        <v>0</v>
      </c>
      <c r="E108" s="127" t="s">
        <v>2415</v>
      </c>
      <c r="F108" s="38" t="s">
        <v>738</v>
      </c>
      <c r="H108" s="475" t="s">
        <v>2032</v>
      </c>
      <c r="I108" s="483" t="s">
        <v>2627</v>
      </c>
      <c r="J108" s="476">
        <v>7</v>
      </c>
      <c r="K108" s="476" t="s">
        <v>1763</v>
      </c>
      <c r="L108" s="482">
        <v>100</v>
      </c>
    </row>
    <row r="109" spans="2:12" ht="12.75">
      <c r="B109" s="180" t="s">
        <v>2619</v>
      </c>
      <c r="C109" s="127" t="s">
        <v>2393</v>
      </c>
      <c r="D109" s="127">
        <v>0</v>
      </c>
      <c r="E109" s="127" t="s">
        <v>2415</v>
      </c>
      <c r="F109" s="38" t="s">
        <v>817</v>
      </c>
      <c r="H109" s="475" t="s">
        <v>2033</v>
      </c>
      <c r="I109" s="483" t="s">
        <v>2627</v>
      </c>
      <c r="J109" s="476">
        <v>8</v>
      </c>
      <c r="K109" s="476" t="s">
        <v>1763</v>
      </c>
      <c r="L109" s="482">
        <v>100</v>
      </c>
    </row>
    <row r="110" spans="2:12" ht="12.75">
      <c r="B110" s="180" t="s">
        <v>912</v>
      </c>
      <c r="C110" s="127" t="s">
        <v>2395</v>
      </c>
      <c r="D110" s="127">
        <v>0</v>
      </c>
      <c r="E110" s="127" t="s">
        <v>2415</v>
      </c>
      <c r="F110" s="38" t="s">
        <v>817</v>
      </c>
      <c r="H110" s="180" t="s">
        <v>2034</v>
      </c>
      <c r="I110" s="22" t="s">
        <v>2627</v>
      </c>
      <c r="J110" s="127">
        <v>9</v>
      </c>
      <c r="K110" s="127" t="s">
        <v>1763</v>
      </c>
      <c r="L110" s="38">
        <v>100</v>
      </c>
    </row>
    <row r="111" spans="2:12" ht="12.75">
      <c r="B111" s="180" t="s">
        <v>914</v>
      </c>
      <c r="C111" s="127" t="s">
        <v>2393</v>
      </c>
      <c r="D111" s="127">
        <v>0</v>
      </c>
      <c r="E111" s="127" t="s">
        <v>2415</v>
      </c>
      <c r="F111" s="38" t="s">
        <v>817</v>
      </c>
      <c r="H111" s="180" t="s">
        <v>1218</v>
      </c>
      <c r="I111" s="22" t="s">
        <v>2667</v>
      </c>
      <c r="J111" s="127">
        <v>5</v>
      </c>
      <c r="K111" s="127">
        <v>2</v>
      </c>
      <c r="L111" s="38">
        <v>100</v>
      </c>
    </row>
    <row r="112" spans="2:12" ht="12.75">
      <c r="B112" s="180" t="s">
        <v>915</v>
      </c>
      <c r="C112" s="127" t="s">
        <v>2395</v>
      </c>
      <c r="D112" s="127">
        <v>0</v>
      </c>
      <c r="E112" s="127" t="s">
        <v>2415</v>
      </c>
      <c r="F112" s="38" t="s">
        <v>817</v>
      </c>
      <c r="H112" s="180" t="s">
        <v>1239</v>
      </c>
      <c r="I112" s="22" t="s">
        <v>39</v>
      </c>
      <c r="J112" s="127">
        <v>9</v>
      </c>
      <c r="K112" s="127">
        <v>3</v>
      </c>
      <c r="L112" s="38">
        <v>200</v>
      </c>
    </row>
    <row r="113" spans="2:12" ht="12.75">
      <c r="B113" s="180" t="s">
        <v>2663</v>
      </c>
      <c r="C113" s="127" t="s">
        <v>2394</v>
      </c>
      <c r="D113" s="127">
        <v>0</v>
      </c>
      <c r="E113" s="127" t="s">
        <v>764</v>
      </c>
      <c r="F113" s="38" t="s">
        <v>817</v>
      </c>
      <c r="H113" s="180" t="s">
        <v>1715</v>
      </c>
      <c r="I113" s="22" t="s">
        <v>2691</v>
      </c>
      <c r="J113" s="127">
        <v>7</v>
      </c>
      <c r="K113" s="127">
        <v>2</v>
      </c>
      <c r="L113" s="38">
        <v>100</v>
      </c>
    </row>
    <row r="114" spans="2:12" ht="12.75">
      <c r="B114" s="180" t="s">
        <v>117</v>
      </c>
      <c r="C114" s="127" t="s">
        <v>2395</v>
      </c>
      <c r="D114" s="127">
        <v>0</v>
      </c>
      <c r="E114" s="127" t="s">
        <v>764</v>
      </c>
      <c r="F114" s="38" t="s">
        <v>817</v>
      </c>
      <c r="H114" s="180" t="s">
        <v>1723</v>
      </c>
      <c r="I114" s="22" t="s">
        <v>2639</v>
      </c>
      <c r="J114" s="127">
        <v>3</v>
      </c>
      <c r="K114" s="127">
        <v>1</v>
      </c>
      <c r="L114" s="38">
        <v>100</v>
      </c>
    </row>
    <row r="115" spans="2:12" ht="12.75">
      <c r="B115" s="180" t="s">
        <v>154</v>
      </c>
      <c r="C115" s="127" t="s">
        <v>2394</v>
      </c>
      <c r="D115" s="127">
        <v>0</v>
      </c>
      <c r="E115" s="127" t="s">
        <v>764</v>
      </c>
      <c r="F115" s="38" t="s">
        <v>738</v>
      </c>
      <c r="H115" s="180" t="s">
        <v>1260</v>
      </c>
      <c r="I115" s="22" t="s">
        <v>2629</v>
      </c>
      <c r="J115" s="127">
        <v>5</v>
      </c>
      <c r="K115" s="127">
        <v>1</v>
      </c>
      <c r="L115" s="38">
        <v>100</v>
      </c>
    </row>
    <row r="116" spans="2:12" ht="12.75">
      <c r="B116" s="180" t="s">
        <v>2</v>
      </c>
      <c r="C116" s="127" t="s">
        <v>2390</v>
      </c>
      <c r="D116" s="127">
        <v>0</v>
      </c>
      <c r="E116" s="127" t="s">
        <v>2415</v>
      </c>
      <c r="F116" s="38" t="s">
        <v>737</v>
      </c>
      <c r="H116" s="180" t="s">
        <v>1261</v>
      </c>
      <c r="I116" s="22" t="s">
        <v>2629</v>
      </c>
      <c r="J116" s="127">
        <v>6</v>
      </c>
      <c r="K116" s="127">
        <v>2</v>
      </c>
      <c r="L116" s="38">
        <v>100</v>
      </c>
    </row>
    <row r="117" spans="2:12" ht="12.75">
      <c r="B117" s="180" t="s">
        <v>64</v>
      </c>
      <c r="C117" s="127" t="s">
        <v>2393</v>
      </c>
      <c r="D117" s="127">
        <v>0</v>
      </c>
      <c r="E117" s="127" t="s">
        <v>764</v>
      </c>
      <c r="F117" s="38" t="s">
        <v>817</v>
      </c>
      <c r="H117" s="180" t="s">
        <v>1717</v>
      </c>
      <c r="I117" s="22" t="s">
        <v>169</v>
      </c>
      <c r="J117" s="127">
        <v>5</v>
      </c>
      <c r="K117" s="127">
        <v>2</v>
      </c>
      <c r="L117" s="38">
        <v>100</v>
      </c>
    </row>
    <row r="118" spans="2:12" ht="12.75">
      <c r="B118" s="180" t="s">
        <v>47</v>
      </c>
      <c r="C118" s="127" t="s">
        <v>2395</v>
      </c>
      <c r="D118" s="127">
        <v>0</v>
      </c>
      <c r="E118" s="127" t="s">
        <v>2415</v>
      </c>
      <c r="F118" s="38" t="s">
        <v>817</v>
      </c>
      <c r="H118" s="180" t="s">
        <v>1696</v>
      </c>
      <c r="I118" s="22" t="s">
        <v>2617</v>
      </c>
      <c r="J118" s="127">
        <v>4</v>
      </c>
      <c r="K118" s="127">
        <v>0</v>
      </c>
      <c r="L118" s="38">
        <v>100</v>
      </c>
    </row>
    <row r="119" spans="2:12" ht="12.75">
      <c r="B119" s="180" t="s">
        <v>2652</v>
      </c>
      <c r="C119" s="127" t="s">
        <v>2390</v>
      </c>
      <c r="D119" s="127">
        <v>0</v>
      </c>
      <c r="E119" s="127" t="s">
        <v>2415</v>
      </c>
      <c r="F119" s="38" t="s">
        <v>738</v>
      </c>
      <c r="H119" s="180" t="s">
        <v>1718</v>
      </c>
      <c r="I119" s="22" t="s">
        <v>169</v>
      </c>
      <c r="J119" s="127">
        <v>6</v>
      </c>
      <c r="K119" s="127">
        <v>2</v>
      </c>
      <c r="L119" s="38">
        <v>100</v>
      </c>
    </row>
    <row r="120" spans="2:12" ht="12.75">
      <c r="B120" s="180" t="s">
        <v>2657</v>
      </c>
      <c r="C120" s="127" t="s">
        <v>2395</v>
      </c>
      <c r="D120" s="127">
        <v>0</v>
      </c>
      <c r="E120" s="127" t="s">
        <v>2415</v>
      </c>
      <c r="F120" s="38" t="s">
        <v>817</v>
      </c>
      <c r="H120" s="180" t="s">
        <v>1719</v>
      </c>
      <c r="I120" s="22" t="s">
        <v>169</v>
      </c>
      <c r="J120" s="127">
        <v>3</v>
      </c>
      <c r="K120" s="127">
        <v>3</v>
      </c>
      <c r="L120" s="38">
        <v>100</v>
      </c>
    </row>
    <row r="121" spans="2:12" ht="12.75">
      <c r="B121" s="180" t="s">
        <v>2695</v>
      </c>
      <c r="C121" s="127" t="s">
        <v>2392</v>
      </c>
      <c r="D121" s="127">
        <v>0</v>
      </c>
      <c r="E121" s="127" t="s">
        <v>2415</v>
      </c>
      <c r="F121" s="38" t="s">
        <v>817</v>
      </c>
      <c r="H121" s="180" t="s">
        <v>1219</v>
      </c>
      <c r="I121" s="22" t="s">
        <v>2615</v>
      </c>
      <c r="J121" s="127">
        <v>5</v>
      </c>
      <c r="K121" s="127">
        <v>1</v>
      </c>
      <c r="L121" s="38">
        <v>100</v>
      </c>
    </row>
    <row r="122" spans="2:12" ht="12.75">
      <c r="B122" s="180" t="s">
        <v>916</v>
      </c>
      <c r="C122" s="127" t="s">
        <v>2394</v>
      </c>
      <c r="D122" s="127">
        <v>0</v>
      </c>
      <c r="E122" s="127" t="s">
        <v>764</v>
      </c>
      <c r="F122" s="38" t="s">
        <v>816</v>
      </c>
      <c r="H122" s="180" t="s">
        <v>1697</v>
      </c>
      <c r="I122" s="22" t="s">
        <v>2617</v>
      </c>
      <c r="J122" s="127">
        <v>7</v>
      </c>
      <c r="K122" s="127" t="s">
        <v>1763</v>
      </c>
      <c r="L122" s="38">
        <v>100</v>
      </c>
    </row>
    <row r="123" spans="2:12" ht="12.75">
      <c r="B123" s="180" t="s">
        <v>917</v>
      </c>
      <c r="C123" s="127" t="s">
        <v>2394</v>
      </c>
      <c r="D123" s="127">
        <v>0</v>
      </c>
      <c r="E123" s="127" t="s">
        <v>764</v>
      </c>
      <c r="F123" s="38" t="s">
        <v>817</v>
      </c>
      <c r="H123" s="180" t="s">
        <v>1720</v>
      </c>
      <c r="I123" s="22" t="s">
        <v>169</v>
      </c>
      <c r="J123" s="127">
        <v>7</v>
      </c>
      <c r="K123" s="127">
        <v>2</v>
      </c>
      <c r="L123" s="38">
        <v>100</v>
      </c>
    </row>
    <row r="124" spans="2:12" ht="12.75">
      <c r="B124" s="180" t="s">
        <v>918</v>
      </c>
      <c r="C124" s="127" t="s">
        <v>2394</v>
      </c>
      <c r="D124" s="127">
        <v>0</v>
      </c>
      <c r="E124" s="127" t="s">
        <v>2415</v>
      </c>
      <c r="F124" s="38" t="s">
        <v>817</v>
      </c>
      <c r="H124" s="180" t="s">
        <v>1210</v>
      </c>
      <c r="I124" s="22" t="s">
        <v>2652</v>
      </c>
      <c r="J124" s="127">
        <v>5</v>
      </c>
      <c r="K124" s="127">
        <v>1</v>
      </c>
      <c r="L124" s="38">
        <v>100</v>
      </c>
    </row>
    <row r="125" spans="2:12" ht="12.75">
      <c r="B125" s="180" t="s">
        <v>2673</v>
      </c>
      <c r="C125" s="127" t="s">
        <v>2395</v>
      </c>
      <c r="D125" s="127">
        <v>0</v>
      </c>
      <c r="E125" s="127" t="s">
        <v>764</v>
      </c>
      <c r="F125" s="38" t="s">
        <v>817</v>
      </c>
      <c r="H125" s="180" t="s">
        <v>1227</v>
      </c>
      <c r="I125" s="22" t="s">
        <v>2669</v>
      </c>
      <c r="J125" s="127">
        <v>9</v>
      </c>
      <c r="K125" s="127">
        <v>1</v>
      </c>
      <c r="L125" s="38">
        <v>100</v>
      </c>
    </row>
    <row r="126" spans="2:12" ht="12.75">
      <c r="B126" s="180" t="s">
        <v>919</v>
      </c>
      <c r="C126" s="127" t="s">
        <v>2394</v>
      </c>
      <c r="D126" s="127">
        <v>0</v>
      </c>
      <c r="E126" s="127" t="s">
        <v>764</v>
      </c>
      <c r="F126" s="38" t="s">
        <v>817</v>
      </c>
      <c r="H126" s="180" t="s">
        <v>1251</v>
      </c>
      <c r="I126" s="22" t="s">
        <v>2629</v>
      </c>
      <c r="J126" s="127">
        <v>6</v>
      </c>
      <c r="K126" s="127">
        <v>2</v>
      </c>
      <c r="L126" s="38">
        <v>100</v>
      </c>
    </row>
    <row r="127" spans="2:12" ht="12.75">
      <c r="B127" s="180" t="s">
        <v>34</v>
      </c>
      <c r="C127" s="127" t="s">
        <v>2394</v>
      </c>
      <c r="D127" s="127">
        <v>0</v>
      </c>
      <c r="E127" s="127" t="s">
        <v>2415</v>
      </c>
      <c r="F127" s="38" t="s">
        <v>738</v>
      </c>
      <c r="H127" s="180" t="s">
        <v>1710</v>
      </c>
      <c r="I127" s="22" t="s">
        <v>2619</v>
      </c>
      <c r="J127" s="127">
        <v>5</v>
      </c>
      <c r="K127" s="127">
        <v>0</v>
      </c>
      <c r="L127" s="38">
        <v>100</v>
      </c>
    </row>
    <row r="128" spans="2:12" ht="12.75">
      <c r="B128" s="180" t="s">
        <v>73</v>
      </c>
      <c r="C128" s="127" t="s">
        <v>2395</v>
      </c>
      <c r="D128" s="127">
        <v>0</v>
      </c>
      <c r="E128" s="127" t="s">
        <v>2415</v>
      </c>
      <c r="F128" s="38" t="s">
        <v>816</v>
      </c>
      <c r="H128" s="180" t="s">
        <v>1235</v>
      </c>
      <c r="I128" s="22" t="s">
        <v>2650</v>
      </c>
      <c r="J128" s="127">
        <v>3</v>
      </c>
      <c r="K128" s="127">
        <v>2</v>
      </c>
      <c r="L128" s="38">
        <v>100</v>
      </c>
    </row>
    <row r="129" spans="2:12" ht="12.75">
      <c r="B129" s="180" t="s">
        <v>56</v>
      </c>
      <c r="C129" s="127" t="s">
        <v>2393</v>
      </c>
      <c r="D129" s="127">
        <v>0</v>
      </c>
      <c r="E129" s="127" t="s">
        <v>2415</v>
      </c>
      <c r="F129" s="38" t="s">
        <v>817</v>
      </c>
      <c r="H129" s="181" t="s">
        <v>1228</v>
      </c>
      <c r="I129" s="324" t="s">
        <v>2649</v>
      </c>
      <c r="J129" s="182">
        <v>5</v>
      </c>
      <c r="K129" s="182" t="s">
        <v>1763</v>
      </c>
      <c r="L129" s="36">
        <v>100</v>
      </c>
    </row>
    <row r="130" spans="2:6" ht="12.75">
      <c r="B130" s="180" t="s">
        <v>920</v>
      </c>
      <c r="C130" s="127" t="s">
        <v>2394</v>
      </c>
      <c r="D130" s="127">
        <v>0</v>
      </c>
      <c r="E130" s="127" t="s">
        <v>764</v>
      </c>
      <c r="F130" s="38" t="s">
        <v>817</v>
      </c>
    </row>
    <row r="131" spans="2:6" ht="12.75">
      <c r="B131" s="180" t="s">
        <v>60</v>
      </c>
      <c r="C131" s="127" t="s">
        <v>2395</v>
      </c>
      <c r="D131" s="127">
        <v>0</v>
      </c>
      <c r="E131" s="127" t="s">
        <v>2415</v>
      </c>
      <c r="F131" s="38" t="s">
        <v>738</v>
      </c>
    </row>
    <row r="132" spans="2:6" ht="12.75">
      <c r="B132" s="180" t="s">
        <v>135</v>
      </c>
      <c r="C132" s="127" t="s">
        <v>2393</v>
      </c>
      <c r="D132" s="127">
        <v>0</v>
      </c>
      <c r="E132" s="127" t="s">
        <v>2415</v>
      </c>
      <c r="F132" s="38" t="s">
        <v>738</v>
      </c>
    </row>
    <row r="133" spans="2:6" ht="12.75">
      <c r="B133" s="180" t="s">
        <v>49</v>
      </c>
      <c r="C133" s="127" t="s">
        <v>2393</v>
      </c>
      <c r="D133" s="127">
        <v>0</v>
      </c>
      <c r="E133" s="127" t="s">
        <v>2415</v>
      </c>
      <c r="F133" s="38" t="s">
        <v>817</v>
      </c>
    </row>
    <row r="134" spans="2:6" ht="12.75">
      <c r="B134" s="180" t="s">
        <v>32</v>
      </c>
      <c r="C134" s="127" t="s">
        <v>2394</v>
      </c>
      <c r="D134" s="127">
        <v>0</v>
      </c>
      <c r="E134" s="127" t="s">
        <v>2415</v>
      </c>
      <c r="F134" s="38" t="s">
        <v>816</v>
      </c>
    </row>
    <row r="135" spans="2:6" ht="12.75">
      <c r="B135" s="180" t="s">
        <v>6</v>
      </c>
      <c r="C135" s="127" t="s">
        <v>2394</v>
      </c>
      <c r="D135" s="127">
        <v>0</v>
      </c>
      <c r="E135" s="127" t="s">
        <v>2415</v>
      </c>
      <c r="F135" s="38" t="s">
        <v>816</v>
      </c>
    </row>
    <row r="136" spans="2:6" ht="12.75">
      <c r="B136" s="180" t="s">
        <v>921</v>
      </c>
      <c r="C136" s="127" t="s">
        <v>2393</v>
      </c>
      <c r="D136" s="127">
        <v>0</v>
      </c>
      <c r="E136" s="127" t="s">
        <v>2415</v>
      </c>
      <c r="F136" s="38" t="s">
        <v>738</v>
      </c>
    </row>
    <row r="137" spans="2:6" ht="12.75">
      <c r="B137" s="180" t="s">
        <v>2655</v>
      </c>
      <c r="C137" s="127" t="s">
        <v>2393</v>
      </c>
      <c r="D137" s="127">
        <v>0</v>
      </c>
      <c r="E137" s="127" t="s">
        <v>764</v>
      </c>
      <c r="F137" s="38" t="s">
        <v>817</v>
      </c>
    </row>
    <row r="138" spans="2:6" ht="12.75">
      <c r="B138" s="180" t="s">
        <v>166</v>
      </c>
      <c r="C138" s="127" t="s">
        <v>2584</v>
      </c>
      <c r="D138" s="127">
        <v>0</v>
      </c>
      <c r="E138" s="127" t="s">
        <v>2415</v>
      </c>
      <c r="F138" s="38" t="s">
        <v>738</v>
      </c>
    </row>
    <row r="139" spans="2:6" ht="12.75">
      <c r="B139" s="180" t="s">
        <v>30</v>
      </c>
      <c r="C139" s="127" t="s">
        <v>2395</v>
      </c>
      <c r="D139" s="127">
        <v>0</v>
      </c>
      <c r="E139" s="127" t="s">
        <v>764</v>
      </c>
      <c r="F139" s="38" t="s">
        <v>738</v>
      </c>
    </row>
    <row r="140" spans="2:6" ht="12.75">
      <c r="B140" s="180" t="s">
        <v>922</v>
      </c>
      <c r="C140" s="127" t="s">
        <v>2395</v>
      </c>
      <c r="D140" s="127">
        <v>0</v>
      </c>
      <c r="E140" s="127" t="s">
        <v>764</v>
      </c>
      <c r="F140" s="38" t="s">
        <v>738</v>
      </c>
    </row>
    <row r="141" spans="2:6" ht="12.75">
      <c r="B141" s="180" t="s">
        <v>19</v>
      </c>
      <c r="C141" s="127" t="s">
        <v>2392</v>
      </c>
      <c r="D141" s="127">
        <v>0</v>
      </c>
      <c r="E141" s="127" t="s">
        <v>2415</v>
      </c>
      <c r="F141" s="38" t="s">
        <v>738</v>
      </c>
    </row>
    <row r="142" spans="2:6" ht="12.75">
      <c r="B142" s="180" t="s">
        <v>31</v>
      </c>
      <c r="C142" s="127" t="s">
        <v>2393</v>
      </c>
      <c r="D142" s="127">
        <v>0</v>
      </c>
      <c r="E142" s="127" t="s">
        <v>2415</v>
      </c>
      <c r="F142" s="38" t="s">
        <v>816</v>
      </c>
    </row>
    <row r="143" spans="2:6" ht="12.75">
      <c r="B143" s="180" t="s">
        <v>923</v>
      </c>
      <c r="C143" s="127" t="s">
        <v>2584</v>
      </c>
      <c r="D143" s="127">
        <v>0</v>
      </c>
      <c r="E143" s="127" t="s">
        <v>2415</v>
      </c>
      <c r="F143" s="38" t="s">
        <v>738</v>
      </c>
    </row>
    <row r="144" spans="2:6" ht="12.75">
      <c r="B144" s="180" t="s">
        <v>44</v>
      </c>
      <c r="C144" s="127" t="s">
        <v>2394</v>
      </c>
      <c r="D144" s="127">
        <v>0</v>
      </c>
      <c r="E144" s="127" t="s">
        <v>2415</v>
      </c>
      <c r="F144" s="38" t="s">
        <v>738</v>
      </c>
    </row>
    <row r="145" spans="2:6" ht="12.75">
      <c r="B145" s="180" t="s">
        <v>92</v>
      </c>
      <c r="C145" s="127" t="s">
        <v>2584</v>
      </c>
      <c r="D145" s="127">
        <v>0</v>
      </c>
      <c r="E145" s="127" t="s">
        <v>2415</v>
      </c>
      <c r="F145" s="38" t="s">
        <v>738</v>
      </c>
    </row>
    <row r="146" spans="2:6" ht="12.75">
      <c r="B146" s="180" t="s">
        <v>4</v>
      </c>
      <c r="C146" s="127" t="s">
        <v>2395</v>
      </c>
      <c r="D146" s="127">
        <v>0</v>
      </c>
      <c r="E146" s="127" t="s">
        <v>764</v>
      </c>
      <c r="F146" s="38" t="s">
        <v>816</v>
      </c>
    </row>
    <row r="147" spans="2:6" ht="12.75">
      <c r="B147" s="180" t="s">
        <v>21</v>
      </c>
      <c r="C147" s="127" t="s">
        <v>2391</v>
      </c>
      <c r="D147" s="127">
        <v>0</v>
      </c>
      <c r="E147" s="127" t="s">
        <v>764</v>
      </c>
      <c r="F147" s="38" t="s">
        <v>738</v>
      </c>
    </row>
    <row r="148" spans="2:6" ht="12.75">
      <c r="B148" s="180" t="s">
        <v>2624</v>
      </c>
      <c r="C148" s="127" t="s">
        <v>2390</v>
      </c>
      <c r="D148" s="127">
        <v>0</v>
      </c>
      <c r="E148" s="127" t="s">
        <v>2415</v>
      </c>
      <c r="F148" s="38" t="s">
        <v>817</v>
      </c>
    </row>
    <row r="149" spans="2:6" ht="12.75">
      <c r="B149" s="180" t="s">
        <v>2654</v>
      </c>
      <c r="C149" s="127" t="s">
        <v>2393</v>
      </c>
      <c r="D149" s="127">
        <v>0</v>
      </c>
      <c r="E149" s="127" t="s">
        <v>2415</v>
      </c>
      <c r="F149" s="38" t="s">
        <v>816</v>
      </c>
    </row>
    <row r="150" spans="2:6" ht="12.75">
      <c r="B150" s="180" t="s">
        <v>924</v>
      </c>
      <c r="C150" s="127" t="s">
        <v>2390</v>
      </c>
      <c r="D150" s="127">
        <v>0</v>
      </c>
      <c r="E150" s="127" t="s">
        <v>2415</v>
      </c>
      <c r="F150" s="38" t="s">
        <v>817</v>
      </c>
    </row>
    <row r="151" spans="2:6" ht="12.75">
      <c r="B151" s="180" t="s">
        <v>71</v>
      </c>
      <c r="C151" s="127" t="s">
        <v>2394</v>
      </c>
      <c r="D151" s="127">
        <v>0</v>
      </c>
      <c r="E151" s="127" t="s">
        <v>2415</v>
      </c>
      <c r="F151" s="38" t="s">
        <v>816</v>
      </c>
    </row>
    <row r="152" spans="2:6" ht="12.75">
      <c r="B152" s="180" t="s">
        <v>2629</v>
      </c>
      <c r="C152" s="127" t="s">
        <v>2390</v>
      </c>
      <c r="D152" s="127">
        <v>0</v>
      </c>
      <c r="E152" s="127" t="s">
        <v>2415</v>
      </c>
      <c r="F152" s="38" t="s">
        <v>817</v>
      </c>
    </row>
    <row r="153" spans="2:6" ht="12.75">
      <c r="B153" s="180" t="s">
        <v>76</v>
      </c>
      <c r="C153" s="127" t="s">
        <v>2393</v>
      </c>
      <c r="D153" s="127">
        <v>0</v>
      </c>
      <c r="E153" s="127" t="s">
        <v>764</v>
      </c>
      <c r="F153" s="38" t="s">
        <v>817</v>
      </c>
    </row>
    <row r="154" spans="2:6" ht="12.75">
      <c r="B154" s="180" t="s">
        <v>58</v>
      </c>
      <c r="C154" s="127" t="s">
        <v>2393</v>
      </c>
      <c r="D154" s="127">
        <v>5</v>
      </c>
      <c r="E154" s="127" t="s">
        <v>2415</v>
      </c>
      <c r="F154" s="38" t="s">
        <v>818</v>
      </c>
    </row>
    <row r="155" spans="2:6" ht="12.75">
      <c r="B155" s="180" t="s">
        <v>2642</v>
      </c>
      <c r="C155" s="127" t="s">
        <v>2393</v>
      </c>
      <c r="D155" s="127">
        <v>0</v>
      </c>
      <c r="E155" s="127" t="s">
        <v>2415</v>
      </c>
      <c r="F155" s="38" t="s">
        <v>817</v>
      </c>
    </row>
    <row r="156" spans="2:6" ht="12.75">
      <c r="B156" s="180" t="s">
        <v>1059</v>
      </c>
      <c r="C156" s="127" t="s">
        <v>2394</v>
      </c>
      <c r="D156" s="127">
        <v>0</v>
      </c>
      <c r="E156" s="127" t="s">
        <v>2415</v>
      </c>
      <c r="F156" s="38" t="s">
        <v>818</v>
      </c>
    </row>
    <row r="157" spans="2:6" ht="12.75">
      <c r="B157" s="180" t="s">
        <v>1060</v>
      </c>
      <c r="C157" s="127" t="s">
        <v>2584</v>
      </c>
      <c r="D157" s="127">
        <v>0</v>
      </c>
      <c r="E157" s="127" t="s">
        <v>2415</v>
      </c>
      <c r="F157" s="38" t="s">
        <v>816</v>
      </c>
    </row>
    <row r="158" spans="2:6" ht="12.75">
      <c r="B158" s="180" t="s">
        <v>1061</v>
      </c>
      <c r="C158" s="127" t="s">
        <v>2394</v>
      </c>
      <c r="D158" s="127">
        <v>5</v>
      </c>
      <c r="E158" s="127" t="s">
        <v>2415</v>
      </c>
      <c r="F158" s="38" t="s">
        <v>816</v>
      </c>
    </row>
    <row r="159" spans="2:6" ht="12.75">
      <c r="B159" s="180" t="s">
        <v>69</v>
      </c>
      <c r="C159" s="127" t="s">
        <v>2394</v>
      </c>
      <c r="D159" s="127">
        <v>0</v>
      </c>
      <c r="E159" s="127" t="s">
        <v>764</v>
      </c>
      <c r="F159" s="38" t="s">
        <v>738</v>
      </c>
    </row>
    <row r="160" spans="2:6" ht="12.75">
      <c r="B160" s="180" t="s">
        <v>2626</v>
      </c>
      <c r="C160" s="127" t="s">
        <v>2390</v>
      </c>
      <c r="D160" s="127">
        <v>0</v>
      </c>
      <c r="E160" s="127" t="s">
        <v>2415</v>
      </c>
      <c r="F160" s="38" t="s">
        <v>817</v>
      </c>
    </row>
    <row r="161" spans="2:6" ht="12.75">
      <c r="B161" s="180" t="s">
        <v>17</v>
      </c>
      <c r="C161" s="127" t="s">
        <v>2390</v>
      </c>
      <c r="D161" s="127">
        <v>0</v>
      </c>
      <c r="E161" s="127" t="s">
        <v>2415</v>
      </c>
      <c r="F161" s="38" t="s">
        <v>737</v>
      </c>
    </row>
    <row r="162" spans="2:6" ht="12.75">
      <c r="B162" s="180" t="s">
        <v>1063</v>
      </c>
      <c r="C162" s="127" t="s">
        <v>2584</v>
      </c>
      <c r="D162" s="127">
        <v>0</v>
      </c>
      <c r="E162" s="127" t="s">
        <v>2415</v>
      </c>
      <c r="F162" s="38" t="s">
        <v>738</v>
      </c>
    </row>
    <row r="163" spans="2:6" ht="12.75">
      <c r="B163" s="180" t="s">
        <v>52</v>
      </c>
      <c r="C163" s="127" t="s">
        <v>2391</v>
      </c>
      <c r="D163" s="127">
        <v>0</v>
      </c>
      <c r="E163" s="127" t="s">
        <v>2415</v>
      </c>
      <c r="F163" s="38" t="s">
        <v>737</v>
      </c>
    </row>
    <row r="164" spans="2:6" ht="12.75">
      <c r="B164" s="180" t="s">
        <v>131</v>
      </c>
      <c r="C164" s="127" t="s">
        <v>2394</v>
      </c>
      <c r="D164" s="127">
        <v>0</v>
      </c>
      <c r="E164" s="127" t="s">
        <v>764</v>
      </c>
      <c r="F164" s="38" t="s">
        <v>817</v>
      </c>
    </row>
    <row r="165" spans="2:6" ht="12.75">
      <c r="B165" s="180" t="s">
        <v>151</v>
      </c>
      <c r="C165" s="127" t="s">
        <v>2390</v>
      </c>
      <c r="D165" s="127">
        <v>0</v>
      </c>
      <c r="E165" s="127" t="s">
        <v>764</v>
      </c>
      <c r="F165" s="38" t="s">
        <v>816</v>
      </c>
    </row>
    <row r="166" spans="2:6" ht="12.75">
      <c r="B166" s="180" t="s">
        <v>137</v>
      </c>
      <c r="C166" s="127" t="s">
        <v>2390</v>
      </c>
      <c r="D166" s="127">
        <v>0</v>
      </c>
      <c r="E166" s="127" t="s">
        <v>2415</v>
      </c>
      <c r="F166" s="38" t="s">
        <v>816</v>
      </c>
    </row>
    <row r="167" spans="2:6" ht="12.75">
      <c r="B167" s="180" t="s">
        <v>141</v>
      </c>
      <c r="C167" s="127" t="s">
        <v>2390</v>
      </c>
      <c r="D167" s="127">
        <v>0</v>
      </c>
      <c r="E167" s="127" t="s">
        <v>764</v>
      </c>
      <c r="F167" s="38" t="s">
        <v>816</v>
      </c>
    </row>
    <row r="168" spans="2:6" ht="12.75">
      <c r="B168" s="180" t="s">
        <v>89</v>
      </c>
      <c r="C168" s="127" t="s">
        <v>2393</v>
      </c>
      <c r="D168" s="127">
        <v>0</v>
      </c>
      <c r="E168" s="127" t="s">
        <v>2415</v>
      </c>
      <c r="F168" s="38" t="s">
        <v>817</v>
      </c>
    </row>
    <row r="169" spans="2:6" ht="12.75">
      <c r="B169" s="180" t="s">
        <v>1064</v>
      </c>
      <c r="C169" s="127" t="s">
        <v>2393</v>
      </c>
      <c r="D169" s="127">
        <v>0</v>
      </c>
      <c r="E169" s="127" t="s">
        <v>2415</v>
      </c>
      <c r="F169" s="38" t="s">
        <v>737</v>
      </c>
    </row>
    <row r="170" spans="2:6" ht="12.75">
      <c r="B170" s="180" t="s">
        <v>2630</v>
      </c>
      <c r="C170" s="127" t="s">
        <v>2393</v>
      </c>
      <c r="D170" s="127">
        <v>0</v>
      </c>
      <c r="E170" s="127" t="s">
        <v>2415</v>
      </c>
      <c r="F170" s="38" t="s">
        <v>816</v>
      </c>
    </row>
    <row r="171" spans="2:6" ht="12.75">
      <c r="B171" s="180" t="s">
        <v>122</v>
      </c>
      <c r="C171" s="127" t="s">
        <v>2394</v>
      </c>
      <c r="D171" s="127">
        <v>0</v>
      </c>
      <c r="E171" s="127" t="s">
        <v>764</v>
      </c>
      <c r="F171" s="38" t="s">
        <v>738</v>
      </c>
    </row>
    <row r="172" spans="2:6" ht="12.75">
      <c r="B172" s="180" t="s">
        <v>55</v>
      </c>
      <c r="C172" s="127" t="s">
        <v>2393</v>
      </c>
      <c r="D172" s="127">
        <v>0</v>
      </c>
      <c r="E172" s="127" t="s">
        <v>764</v>
      </c>
      <c r="F172" s="38" t="s">
        <v>817</v>
      </c>
    </row>
    <row r="173" spans="2:6" ht="12.75">
      <c r="B173" s="180" t="s">
        <v>2635</v>
      </c>
      <c r="C173" s="127" t="s">
        <v>2390</v>
      </c>
      <c r="D173" s="127">
        <v>0</v>
      </c>
      <c r="E173" s="127" t="s">
        <v>2415</v>
      </c>
      <c r="F173" s="38" t="s">
        <v>817</v>
      </c>
    </row>
    <row r="174" spans="2:6" ht="12.75">
      <c r="B174" s="180" t="s">
        <v>1065</v>
      </c>
      <c r="C174" s="127" t="s">
        <v>2394</v>
      </c>
      <c r="D174" s="127">
        <v>0</v>
      </c>
      <c r="E174" s="127" t="s">
        <v>2415</v>
      </c>
      <c r="F174" s="38" t="s">
        <v>817</v>
      </c>
    </row>
    <row r="175" spans="2:6" ht="12.75">
      <c r="B175" s="180" t="s">
        <v>79</v>
      </c>
      <c r="C175" s="127" t="s">
        <v>2390</v>
      </c>
      <c r="D175" s="127">
        <v>0</v>
      </c>
      <c r="E175" s="127" t="s">
        <v>2415</v>
      </c>
      <c r="F175" s="38" t="s">
        <v>817</v>
      </c>
    </row>
    <row r="176" spans="2:6" ht="12.75">
      <c r="B176" s="180" t="s">
        <v>94</v>
      </c>
      <c r="C176" s="127" t="s">
        <v>2395</v>
      </c>
      <c r="D176" s="127">
        <v>10</v>
      </c>
      <c r="E176" s="127" t="s">
        <v>2415</v>
      </c>
      <c r="F176" s="38" t="s">
        <v>816</v>
      </c>
    </row>
    <row r="177" spans="2:6" ht="12.75">
      <c r="B177" s="180" t="s">
        <v>51</v>
      </c>
      <c r="C177" s="127" t="s">
        <v>2392</v>
      </c>
      <c r="D177" s="127">
        <v>0</v>
      </c>
      <c r="E177" s="127" t="s">
        <v>2415</v>
      </c>
      <c r="F177" s="38" t="s">
        <v>738</v>
      </c>
    </row>
    <row r="178" spans="2:6" ht="12.75">
      <c r="B178" s="180" t="s">
        <v>1066</v>
      </c>
      <c r="C178" s="127" t="s">
        <v>2394</v>
      </c>
      <c r="D178" s="127">
        <v>0</v>
      </c>
      <c r="E178" s="127" t="s">
        <v>2415</v>
      </c>
      <c r="F178" s="38" t="s">
        <v>816</v>
      </c>
    </row>
    <row r="179" spans="2:6" ht="12.75">
      <c r="B179" s="180" t="s">
        <v>1067</v>
      </c>
      <c r="C179" s="127" t="s">
        <v>2393</v>
      </c>
      <c r="D179" s="127">
        <v>0</v>
      </c>
      <c r="E179" s="127" t="s">
        <v>764</v>
      </c>
      <c r="F179" s="38" t="s">
        <v>817</v>
      </c>
    </row>
    <row r="180" spans="2:6" ht="12.75">
      <c r="B180" s="180" t="s">
        <v>1068</v>
      </c>
      <c r="C180" s="127" t="s">
        <v>2584</v>
      </c>
      <c r="D180" s="127">
        <v>0</v>
      </c>
      <c r="E180" s="127" t="s">
        <v>2415</v>
      </c>
      <c r="F180" s="38" t="s">
        <v>738</v>
      </c>
    </row>
    <row r="181" spans="2:6" ht="12.75">
      <c r="B181" s="180" t="s">
        <v>106</v>
      </c>
      <c r="C181" s="127" t="s">
        <v>2390</v>
      </c>
      <c r="D181" s="127">
        <v>0</v>
      </c>
      <c r="E181" s="127" t="s">
        <v>2415</v>
      </c>
      <c r="F181" s="38" t="s">
        <v>737</v>
      </c>
    </row>
    <row r="182" spans="2:6" ht="12.75">
      <c r="B182" s="180" t="s">
        <v>104</v>
      </c>
      <c r="C182" s="127" t="s">
        <v>2390</v>
      </c>
      <c r="D182" s="127">
        <v>0</v>
      </c>
      <c r="E182" s="127" t="s">
        <v>2415</v>
      </c>
      <c r="F182" s="38" t="s">
        <v>739</v>
      </c>
    </row>
    <row r="183" spans="2:6" ht="12.75">
      <c r="B183" s="180" t="s">
        <v>74</v>
      </c>
      <c r="C183" s="127" t="s">
        <v>2395</v>
      </c>
      <c r="D183" s="127">
        <v>0</v>
      </c>
      <c r="E183" s="127" t="s">
        <v>764</v>
      </c>
      <c r="F183" s="38" t="s">
        <v>817</v>
      </c>
    </row>
    <row r="184" spans="2:6" ht="12.75">
      <c r="B184" s="180" t="s">
        <v>81</v>
      </c>
      <c r="C184" s="127" t="s">
        <v>2393</v>
      </c>
      <c r="D184" s="127">
        <v>0</v>
      </c>
      <c r="E184" s="127" t="s">
        <v>2415</v>
      </c>
      <c r="F184" s="38" t="s">
        <v>816</v>
      </c>
    </row>
    <row r="185" spans="2:6" ht="12.75">
      <c r="B185" s="180" t="s">
        <v>1069</v>
      </c>
      <c r="C185" s="127" t="s">
        <v>2393</v>
      </c>
      <c r="D185" s="127">
        <v>0</v>
      </c>
      <c r="E185" s="127" t="s">
        <v>2415</v>
      </c>
      <c r="F185" s="38" t="s">
        <v>817</v>
      </c>
    </row>
    <row r="186" spans="2:6" ht="12.75">
      <c r="B186" s="180" t="s">
        <v>1070</v>
      </c>
      <c r="C186" s="127" t="s">
        <v>2393</v>
      </c>
      <c r="D186" s="127">
        <v>0</v>
      </c>
      <c r="E186" s="127" t="s">
        <v>2415</v>
      </c>
      <c r="F186" s="38" t="s">
        <v>817</v>
      </c>
    </row>
    <row r="187" spans="2:6" ht="12.75">
      <c r="B187" s="180" t="s">
        <v>1071</v>
      </c>
      <c r="C187" s="127" t="s">
        <v>2393</v>
      </c>
      <c r="D187" s="127">
        <v>0</v>
      </c>
      <c r="E187" s="127" t="s">
        <v>2415</v>
      </c>
      <c r="F187" s="38" t="s">
        <v>817</v>
      </c>
    </row>
    <row r="188" spans="2:6" ht="12.75">
      <c r="B188" s="180" t="s">
        <v>37</v>
      </c>
      <c r="C188" s="127" t="s">
        <v>2394</v>
      </c>
      <c r="D188" s="127">
        <v>0</v>
      </c>
      <c r="E188" s="127" t="s">
        <v>2415</v>
      </c>
      <c r="F188" s="38" t="s">
        <v>818</v>
      </c>
    </row>
    <row r="189" spans="2:6" ht="12.75">
      <c r="B189" s="180" t="s">
        <v>2686</v>
      </c>
      <c r="C189" s="127" t="s">
        <v>2394</v>
      </c>
      <c r="D189" s="127">
        <v>0</v>
      </c>
      <c r="E189" s="127" t="s">
        <v>2415</v>
      </c>
      <c r="F189" s="38" t="s">
        <v>737</v>
      </c>
    </row>
    <row r="190" spans="2:6" ht="12.75">
      <c r="B190" s="180" t="s">
        <v>775</v>
      </c>
      <c r="C190" s="127" t="s">
        <v>2390</v>
      </c>
      <c r="D190" s="127">
        <v>0</v>
      </c>
      <c r="E190" s="127" t="s">
        <v>2415</v>
      </c>
      <c r="F190" s="38" t="s">
        <v>817</v>
      </c>
    </row>
    <row r="191" spans="2:6" ht="12.75">
      <c r="B191" s="180" t="s">
        <v>2653</v>
      </c>
      <c r="C191" s="127" t="s">
        <v>2390</v>
      </c>
      <c r="D191" s="127">
        <v>3</v>
      </c>
      <c r="E191" s="127" t="s">
        <v>764</v>
      </c>
      <c r="F191" s="38" t="s">
        <v>739</v>
      </c>
    </row>
    <row r="192" spans="2:6" ht="12.75">
      <c r="B192" s="180" t="s">
        <v>1072</v>
      </c>
      <c r="C192" s="127" t="s">
        <v>2394</v>
      </c>
      <c r="D192" s="127">
        <v>0</v>
      </c>
      <c r="E192" s="127" t="s">
        <v>764</v>
      </c>
      <c r="F192" s="38" t="s">
        <v>1080</v>
      </c>
    </row>
    <row r="193" spans="2:6" ht="12.75">
      <c r="B193" s="180" t="s">
        <v>1073</v>
      </c>
      <c r="C193" s="127" t="s">
        <v>2393</v>
      </c>
      <c r="D193" s="127">
        <v>0</v>
      </c>
      <c r="E193" s="127" t="s">
        <v>764</v>
      </c>
      <c r="F193" s="38" t="s">
        <v>818</v>
      </c>
    </row>
    <row r="194" spans="2:6" ht="12.75">
      <c r="B194" s="180" t="s">
        <v>91</v>
      </c>
      <c r="C194" s="127" t="s">
        <v>2390</v>
      </c>
      <c r="D194" s="127">
        <v>0</v>
      </c>
      <c r="E194" s="127" t="s">
        <v>2415</v>
      </c>
      <c r="F194" s="38" t="s">
        <v>738</v>
      </c>
    </row>
    <row r="195" spans="2:6" ht="12.75">
      <c r="B195" s="180" t="s">
        <v>53</v>
      </c>
      <c r="C195" s="127" t="s">
        <v>2393</v>
      </c>
      <c r="D195" s="127">
        <v>0</v>
      </c>
      <c r="E195" s="127" t="s">
        <v>764</v>
      </c>
      <c r="F195" s="38" t="s">
        <v>817</v>
      </c>
    </row>
    <row r="196" spans="2:6" ht="12.75">
      <c r="B196" s="180" t="s">
        <v>95</v>
      </c>
      <c r="C196" s="127" t="s">
        <v>2394</v>
      </c>
      <c r="D196" s="127">
        <v>0</v>
      </c>
      <c r="E196" s="127" t="s">
        <v>764</v>
      </c>
      <c r="F196" s="38" t="s">
        <v>817</v>
      </c>
    </row>
    <row r="197" spans="2:6" ht="12.75">
      <c r="B197" s="180" t="s">
        <v>167</v>
      </c>
      <c r="C197" s="127" t="s">
        <v>2393</v>
      </c>
      <c r="D197" s="127">
        <v>0</v>
      </c>
      <c r="E197" s="127" t="s">
        <v>2415</v>
      </c>
      <c r="F197" s="38" t="s">
        <v>738</v>
      </c>
    </row>
    <row r="198" spans="2:6" ht="12.75">
      <c r="B198" s="180" t="s">
        <v>130</v>
      </c>
      <c r="C198" s="127" t="s">
        <v>2395</v>
      </c>
      <c r="D198" s="127">
        <v>0</v>
      </c>
      <c r="E198" s="127" t="s">
        <v>2415</v>
      </c>
      <c r="F198" s="38" t="s">
        <v>816</v>
      </c>
    </row>
    <row r="199" spans="2:6" ht="12.75">
      <c r="B199" s="180" t="s">
        <v>40</v>
      </c>
      <c r="C199" s="127" t="s">
        <v>2390</v>
      </c>
      <c r="D199" s="127">
        <v>0</v>
      </c>
      <c r="E199" s="127" t="s">
        <v>764</v>
      </c>
      <c r="F199" s="38" t="s">
        <v>737</v>
      </c>
    </row>
    <row r="200" spans="2:6" ht="12.75">
      <c r="B200" s="180" t="s">
        <v>152</v>
      </c>
      <c r="C200" s="127" t="s">
        <v>2394</v>
      </c>
      <c r="D200" s="127">
        <v>0</v>
      </c>
      <c r="E200" s="127" t="s">
        <v>764</v>
      </c>
      <c r="F200" s="38" t="s">
        <v>737</v>
      </c>
    </row>
    <row r="201" spans="2:6" ht="12.75">
      <c r="B201" s="180" t="s">
        <v>2700</v>
      </c>
      <c r="C201" s="127" t="s">
        <v>2390</v>
      </c>
      <c r="D201" s="127">
        <v>0</v>
      </c>
      <c r="E201" s="127" t="s">
        <v>2415</v>
      </c>
      <c r="F201" s="38" t="s">
        <v>737</v>
      </c>
    </row>
    <row r="202" spans="2:6" ht="12.75">
      <c r="B202" s="180" t="s">
        <v>70</v>
      </c>
      <c r="C202" s="127" t="s">
        <v>2393</v>
      </c>
      <c r="D202" s="127">
        <v>0</v>
      </c>
      <c r="E202" s="127" t="s">
        <v>2415</v>
      </c>
      <c r="F202" s="38" t="s">
        <v>816</v>
      </c>
    </row>
    <row r="203" spans="2:6" ht="12.75">
      <c r="B203" s="180" t="s">
        <v>36</v>
      </c>
      <c r="C203" s="127" t="s">
        <v>2393</v>
      </c>
      <c r="D203" s="127">
        <v>0</v>
      </c>
      <c r="E203" s="127" t="s">
        <v>2415</v>
      </c>
      <c r="F203" s="38" t="s">
        <v>737</v>
      </c>
    </row>
    <row r="204" spans="2:6" ht="12.75">
      <c r="B204" s="180" t="s">
        <v>1074</v>
      </c>
      <c r="C204" s="127" t="s">
        <v>2390</v>
      </c>
      <c r="D204" s="127">
        <v>0</v>
      </c>
      <c r="E204" s="127" t="s">
        <v>2415</v>
      </c>
      <c r="F204" s="38" t="s">
        <v>816</v>
      </c>
    </row>
    <row r="205" spans="2:6" ht="12.75">
      <c r="B205" s="180" t="s">
        <v>161</v>
      </c>
      <c r="C205" s="127" t="s">
        <v>2584</v>
      </c>
      <c r="D205" s="127">
        <v>0</v>
      </c>
      <c r="E205" s="127" t="s">
        <v>2415</v>
      </c>
      <c r="F205" s="38" t="s">
        <v>738</v>
      </c>
    </row>
    <row r="206" spans="2:6" ht="12.75">
      <c r="B206" s="180" t="s">
        <v>97</v>
      </c>
      <c r="C206" s="127" t="s">
        <v>2390</v>
      </c>
      <c r="D206" s="127">
        <v>0</v>
      </c>
      <c r="E206" s="127" t="s">
        <v>2415</v>
      </c>
      <c r="F206" s="38" t="s">
        <v>816</v>
      </c>
    </row>
    <row r="207" spans="2:6" ht="12.75">
      <c r="B207" s="180" t="s">
        <v>2664</v>
      </c>
      <c r="C207" s="127" t="s">
        <v>2391</v>
      </c>
      <c r="D207" s="127">
        <v>0</v>
      </c>
      <c r="E207" s="127" t="s">
        <v>2415</v>
      </c>
      <c r="F207" s="38" t="s">
        <v>737</v>
      </c>
    </row>
    <row r="208" spans="2:6" ht="12.75">
      <c r="B208" s="180" t="s">
        <v>1075</v>
      </c>
      <c r="C208" s="127" t="s">
        <v>2395</v>
      </c>
      <c r="D208" s="127">
        <v>0</v>
      </c>
      <c r="E208" s="127" t="s">
        <v>764</v>
      </c>
      <c r="F208" s="38" t="s">
        <v>817</v>
      </c>
    </row>
    <row r="209" spans="2:6" ht="12.75">
      <c r="B209" s="180" t="s">
        <v>80</v>
      </c>
      <c r="C209" s="127" t="s">
        <v>2393</v>
      </c>
      <c r="D209" s="127">
        <v>0</v>
      </c>
      <c r="E209" s="127" t="s">
        <v>2415</v>
      </c>
      <c r="F209" s="38" t="s">
        <v>816</v>
      </c>
    </row>
    <row r="210" spans="2:6" ht="12.75">
      <c r="B210" s="180" t="s">
        <v>2633</v>
      </c>
      <c r="C210" s="127" t="s">
        <v>2390</v>
      </c>
      <c r="D210" s="127">
        <v>0</v>
      </c>
      <c r="E210" s="127" t="s">
        <v>2415</v>
      </c>
      <c r="F210" s="38" t="s">
        <v>738</v>
      </c>
    </row>
    <row r="211" spans="2:6" ht="12.75">
      <c r="B211" s="180" t="s">
        <v>99</v>
      </c>
      <c r="C211" s="127" t="s">
        <v>2395</v>
      </c>
      <c r="D211" s="127">
        <v>0</v>
      </c>
      <c r="E211" s="127" t="s">
        <v>764</v>
      </c>
      <c r="F211" s="38" t="s">
        <v>818</v>
      </c>
    </row>
    <row r="212" spans="2:6" ht="12.75">
      <c r="B212" s="180" t="s">
        <v>120</v>
      </c>
      <c r="C212" s="127" t="s">
        <v>2394</v>
      </c>
      <c r="D212" s="127">
        <v>0</v>
      </c>
      <c r="E212" s="127" t="s">
        <v>764</v>
      </c>
      <c r="F212" s="38" t="s">
        <v>817</v>
      </c>
    </row>
    <row r="213" spans="2:6" ht="12.75">
      <c r="B213" s="180" t="s">
        <v>111</v>
      </c>
      <c r="C213" s="127" t="s">
        <v>2394</v>
      </c>
      <c r="D213" s="127">
        <v>0</v>
      </c>
      <c r="E213" s="127" t="s">
        <v>764</v>
      </c>
      <c r="F213" s="38" t="s">
        <v>737</v>
      </c>
    </row>
    <row r="214" spans="2:6" ht="12.75">
      <c r="B214" s="180" t="s">
        <v>159</v>
      </c>
      <c r="C214" s="127" t="s">
        <v>2394</v>
      </c>
      <c r="D214" s="127">
        <v>10</v>
      </c>
      <c r="E214" s="127" t="s">
        <v>2415</v>
      </c>
      <c r="F214" s="38" t="s">
        <v>1081</v>
      </c>
    </row>
    <row r="215" spans="2:6" ht="12.75">
      <c r="B215" s="180" t="s">
        <v>2665</v>
      </c>
      <c r="C215" s="127" t="s">
        <v>2393</v>
      </c>
      <c r="D215" s="127">
        <v>0</v>
      </c>
      <c r="E215" s="127" t="s">
        <v>764</v>
      </c>
      <c r="F215" s="38" t="s">
        <v>816</v>
      </c>
    </row>
    <row r="216" spans="2:6" ht="12.75">
      <c r="B216" s="180" t="s">
        <v>132</v>
      </c>
      <c r="C216" s="127" t="s">
        <v>2393</v>
      </c>
      <c r="D216" s="127">
        <v>0</v>
      </c>
      <c r="E216" s="127" t="s">
        <v>2415</v>
      </c>
      <c r="F216" s="38" t="s">
        <v>817</v>
      </c>
    </row>
    <row r="217" spans="2:6" ht="12.75">
      <c r="B217" s="180" t="s">
        <v>168</v>
      </c>
      <c r="C217" s="127" t="s">
        <v>2584</v>
      </c>
      <c r="D217" s="127">
        <v>0</v>
      </c>
      <c r="E217" s="127" t="s">
        <v>2415</v>
      </c>
      <c r="F217" s="38" t="s">
        <v>738</v>
      </c>
    </row>
    <row r="218" spans="2:6" ht="12.75">
      <c r="B218" s="180" t="s">
        <v>2627</v>
      </c>
      <c r="C218" s="127" t="s">
        <v>2393</v>
      </c>
      <c r="D218" s="127">
        <v>0</v>
      </c>
      <c r="E218" s="127" t="s">
        <v>2415</v>
      </c>
      <c r="F218" s="38" t="s">
        <v>817</v>
      </c>
    </row>
    <row r="219" spans="2:6" ht="12.75">
      <c r="B219" s="180" t="s">
        <v>39</v>
      </c>
      <c r="C219" s="127" t="s">
        <v>2393</v>
      </c>
      <c r="D219" s="127">
        <v>0</v>
      </c>
      <c r="E219" s="127" t="s">
        <v>2415</v>
      </c>
      <c r="F219" s="38" t="s">
        <v>737</v>
      </c>
    </row>
    <row r="220" spans="2:6" ht="12.75">
      <c r="B220" s="180" t="s">
        <v>8</v>
      </c>
      <c r="C220" s="127" t="s">
        <v>2394</v>
      </c>
      <c r="D220" s="127">
        <v>5</v>
      </c>
      <c r="E220" s="127" t="s">
        <v>2415</v>
      </c>
      <c r="F220" s="38" t="s">
        <v>816</v>
      </c>
    </row>
    <row r="221" spans="2:6" ht="12.75">
      <c r="B221" s="180" t="s">
        <v>2669</v>
      </c>
      <c r="C221" s="127" t="s">
        <v>2393</v>
      </c>
      <c r="D221" s="127">
        <v>0</v>
      </c>
      <c r="E221" s="127" t="s">
        <v>2415</v>
      </c>
      <c r="F221" s="38" t="s">
        <v>816</v>
      </c>
    </row>
    <row r="222" spans="2:6" ht="12.75">
      <c r="B222" s="180" t="s">
        <v>57</v>
      </c>
      <c r="C222" s="127" t="s">
        <v>2394</v>
      </c>
      <c r="D222" s="127">
        <v>0</v>
      </c>
      <c r="E222" s="127" t="s">
        <v>2415</v>
      </c>
      <c r="F222" s="38" t="s">
        <v>816</v>
      </c>
    </row>
    <row r="223" spans="2:6" ht="12.75">
      <c r="B223" s="180" t="s">
        <v>25</v>
      </c>
      <c r="C223" s="127" t="s">
        <v>2393</v>
      </c>
      <c r="D223" s="127">
        <v>0</v>
      </c>
      <c r="E223" s="127" t="s">
        <v>2415</v>
      </c>
      <c r="F223" s="38" t="s">
        <v>738</v>
      </c>
    </row>
    <row r="224" spans="2:6" ht="12.75">
      <c r="B224" s="180" t="s">
        <v>1076</v>
      </c>
      <c r="C224" s="127" t="s">
        <v>2393</v>
      </c>
      <c r="D224" s="127">
        <v>0</v>
      </c>
      <c r="E224" s="127" t="s">
        <v>2415</v>
      </c>
      <c r="F224" s="38" t="s">
        <v>738</v>
      </c>
    </row>
    <row r="225" spans="2:6" ht="12.75">
      <c r="B225" s="180" t="s">
        <v>2647</v>
      </c>
      <c r="C225" s="127" t="s">
        <v>2584</v>
      </c>
      <c r="D225" s="127">
        <v>0</v>
      </c>
      <c r="E225" s="127" t="s">
        <v>2415</v>
      </c>
      <c r="F225" s="38" t="s">
        <v>737</v>
      </c>
    </row>
    <row r="226" spans="2:6" ht="12.75">
      <c r="B226" s="180" t="s">
        <v>2637</v>
      </c>
      <c r="C226" s="127" t="s">
        <v>2394</v>
      </c>
      <c r="D226" s="127">
        <v>0</v>
      </c>
      <c r="E226" s="127" t="s">
        <v>2415</v>
      </c>
      <c r="F226" s="38" t="s">
        <v>738</v>
      </c>
    </row>
    <row r="227" spans="2:6" ht="12.75">
      <c r="B227" s="180" t="s">
        <v>26</v>
      </c>
      <c r="C227" s="127" t="s">
        <v>2395</v>
      </c>
      <c r="D227" s="127">
        <v>0</v>
      </c>
      <c r="E227" s="127" t="s">
        <v>2415</v>
      </c>
      <c r="F227" s="38" t="s">
        <v>816</v>
      </c>
    </row>
    <row r="228" spans="2:6" ht="12.75">
      <c r="B228" s="180" t="s">
        <v>134</v>
      </c>
      <c r="C228" s="127" t="s">
        <v>2392</v>
      </c>
      <c r="D228" s="127">
        <v>0</v>
      </c>
      <c r="E228" s="127" t="s">
        <v>2415</v>
      </c>
      <c r="F228" s="38" t="s">
        <v>817</v>
      </c>
    </row>
    <row r="229" spans="2:6" ht="12.75">
      <c r="B229" s="180" t="s">
        <v>5</v>
      </c>
      <c r="C229" s="127" t="s">
        <v>2395</v>
      </c>
      <c r="D229" s="127">
        <v>0</v>
      </c>
      <c r="E229" s="127" t="s">
        <v>2415</v>
      </c>
      <c r="F229" s="38" t="s">
        <v>816</v>
      </c>
    </row>
    <row r="230" spans="2:6" ht="12.75">
      <c r="B230" s="180" t="s">
        <v>87</v>
      </c>
      <c r="C230" s="127" t="s">
        <v>2393</v>
      </c>
      <c r="D230" s="127">
        <v>0</v>
      </c>
      <c r="E230" s="127" t="s">
        <v>2415</v>
      </c>
      <c r="F230" s="38" t="s">
        <v>818</v>
      </c>
    </row>
    <row r="231" spans="2:6" ht="12.75">
      <c r="B231" s="180" t="s">
        <v>96</v>
      </c>
      <c r="C231" s="127" t="s">
        <v>2393</v>
      </c>
      <c r="D231" s="127">
        <v>0</v>
      </c>
      <c r="E231" s="127" t="s">
        <v>2415</v>
      </c>
      <c r="F231" s="38" t="s">
        <v>818</v>
      </c>
    </row>
    <row r="232" spans="2:6" ht="12.75">
      <c r="B232" s="180" t="s">
        <v>2696</v>
      </c>
      <c r="C232" s="127" t="s">
        <v>2391</v>
      </c>
      <c r="D232" s="127">
        <v>0</v>
      </c>
      <c r="E232" s="127" t="s">
        <v>2415</v>
      </c>
      <c r="F232" s="38" t="s">
        <v>738</v>
      </c>
    </row>
    <row r="233" spans="2:6" ht="12.75">
      <c r="B233" s="180" t="s">
        <v>2645</v>
      </c>
      <c r="C233" s="127" t="s">
        <v>2390</v>
      </c>
      <c r="D233" s="127">
        <v>0</v>
      </c>
      <c r="E233" s="127" t="s">
        <v>764</v>
      </c>
      <c r="F233" s="38" t="s">
        <v>817</v>
      </c>
    </row>
    <row r="234" spans="2:6" ht="12.75">
      <c r="B234" s="180" t="s">
        <v>2672</v>
      </c>
      <c r="C234" s="127" t="s">
        <v>2390</v>
      </c>
      <c r="D234" s="127">
        <v>0</v>
      </c>
      <c r="E234" s="127" t="s">
        <v>2415</v>
      </c>
      <c r="F234" s="38" t="s">
        <v>737</v>
      </c>
    </row>
    <row r="235" spans="2:6" ht="12.75">
      <c r="B235" s="180" t="s">
        <v>1077</v>
      </c>
      <c r="C235" s="127" t="s">
        <v>2390</v>
      </c>
      <c r="D235" s="127">
        <v>0</v>
      </c>
      <c r="E235" s="127" t="s">
        <v>2415</v>
      </c>
      <c r="F235" s="38" t="s">
        <v>816</v>
      </c>
    </row>
    <row r="236" spans="2:6" ht="12.75">
      <c r="B236" s="180" t="s">
        <v>1078</v>
      </c>
      <c r="C236" s="127" t="s">
        <v>2393</v>
      </c>
      <c r="D236" s="127">
        <v>0</v>
      </c>
      <c r="E236" s="127" t="s">
        <v>764</v>
      </c>
      <c r="F236" s="38" t="s">
        <v>821</v>
      </c>
    </row>
    <row r="237" spans="2:6" ht="12.75">
      <c r="B237" s="180" t="s">
        <v>107</v>
      </c>
      <c r="C237" s="127" t="s">
        <v>2395</v>
      </c>
      <c r="D237" s="127">
        <v>0</v>
      </c>
      <c r="E237" s="127" t="s">
        <v>764</v>
      </c>
      <c r="F237" s="38" t="s">
        <v>817</v>
      </c>
    </row>
    <row r="238" spans="2:6" ht="12.75">
      <c r="B238" s="180" t="s">
        <v>2634</v>
      </c>
      <c r="C238" s="127" t="s">
        <v>2395</v>
      </c>
      <c r="D238" s="127">
        <v>0</v>
      </c>
      <c r="E238" s="127" t="s">
        <v>2415</v>
      </c>
      <c r="F238" s="38" t="s">
        <v>817</v>
      </c>
    </row>
    <row r="239" spans="2:6" ht="12.75">
      <c r="B239" s="180" t="s">
        <v>41</v>
      </c>
      <c r="C239" s="127" t="s">
        <v>2394</v>
      </c>
      <c r="D239" s="127">
        <v>0</v>
      </c>
      <c r="E239" s="127" t="s">
        <v>2415</v>
      </c>
      <c r="F239" s="38" t="s">
        <v>817</v>
      </c>
    </row>
    <row r="240" spans="2:6" ht="12.75">
      <c r="B240" s="180" t="s">
        <v>3</v>
      </c>
      <c r="C240" s="127" t="s">
        <v>2394</v>
      </c>
      <c r="D240" s="127">
        <v>0</v>
      </c>
      <c r="E240" s="127" t="s">
        <v>2415</v>
      </c>
      <c r="F240" s="38" t="s">
        <v>817</v>
      </c>
    </row>
    <row r="241" spans="2:6" ht="12.75">
      <c r="B241" s="180" t="s">
        <v>15</v>
      </c>
      <c r="C241" s="127" t="s">
        <v>2394</v>
      </c>
      <c r="D241" s="127">
        <v>0</v>
      </c>
      <c r="E241" s="127" t="s">
        <v>2415</v>
      </c>
      <c r="F241" s="38" t="s">
        <v>816</v>
      </c>
    </row>
    <row r="242" spans="2:6" ht="12.75">
      <c r="B242" s="180" t="s">
        <v>118</v>
      </c>
      <c r="C242" s="127" t="s">
        <v>2393</v>
      </c>
      <c r="D242" s="127">
        <v>0</v>
      </c>
      <c r="E242" s="127" t="s">
        <v>2415</v>
      </c>
      <c r="F242" s="38" t="s">
        <v>816</v>
      </c>
    </row>
    <row r="243" spans="2:6" ht="12.75">
      <c r="B243" s="180" t="s">
        <v>108</v>
      </c>
      <c r="C243" s="127" t="s">
        <v>2393</v>
      </c>
      <c r="D243" s="127">
        <v>0</v>
      </c>
      <c r="E243" s="127" t="s">
        <v>2415</v>
      </c>
      <c r="F243" s="38" t="s">
        <v>738</v>
      </c>
    </row>
    <row r="244" spans="2:6" ht="12.75">
      <c r="B244" s="180" t="s">
        <v>169</v>
      </c>
      <c r="C244" s="127" t="s">
        <v>2393</v>
      </c>
      <c r="D244" s="127">
        <v>0</v>
      </c>
      <c r="E244" s="127" t="s">
        <v>2415</v>
      </c>
      <c r="F244" s="38" t="s">
        <v>817</v>
      </c>
    </row>
    <row r="245" spans="2:6" ht="12.75">
      <c r="B245" s="180" t="s">
        <v>2659</v>
      </c>
      <c r="C245" s="127" t="s">
        <v>2390</v>
      </c>
      <c r="D245" s="127">
        <v>0</v>
      </c>
      <c r="E245" s="127" t="s">
        <v>2415</v>
      </c>
      <c r="F245" s="38" t="s">
        <v>817</v>
      </c>
    </row>
    <row r="246" spans="2:6" ht="12.75">
      <c r="B246" s="180" t="s">
        <v>78</v>
      </c>
      <c r="C246" s="127" t="s">
        <v>2391</v>
      </c>
      <c r="D246" s="127">
        <v>0</v>
      </c>
      <c r="E246" s="127" t="s">
        <v>2415</v>
      </c>
      <c r="F246" s="38" t="s">
        <v>737</v>
      </c>
    </row>
    <row r="247" spans="2:6" ht="12.75">
      <c r="B247" s="180" t="s">
        <v>2682</v>
      </c>
      <c r="C247" s="127" t="s">
        <v>2584</v>
      </c>
      <c r="D247" s="127">
        <v>0</v>
      </c>
      <c r="E247" s="127" t="s">
        <v>2415</v>
      </c>
      <c r="F247" s="38" t="s">
        <v>737</v>
      </c>
    </row>
    <row r="248" spans="2:6" ht="12.75">
      <c r="B248" s="180" t="s">
        <v>72</v>
      </c>
      <c r="C248" s="127" t="s">
        <v>2393</v>
      </c>
      <c r="D248" s="127">
        <v>0</v>
      </c>
      <c r="E248" s="127" t="s">
        <v>2415</v>
      </c>
      <c r="F248" s="38" t="s">
        <v>737</v>
      </c>
    </row>
    <row r="249" spans="2:6" ht="12.75">
      <c r="B249" s="180" t="s">
        <v>2631</v>
      </c>
      <c r="C249" s="127" t="s">
        <v>2393</v>
      </c>
      <c r="D249" s="127">
        <v>0</v>
      </c>
      <c r="E249" s="127" t="s">
        <v>2415</v>
      </c>
      <c r="F249" s="38" t="s">
        <v>816</v>
      </c>
    </row>
    <row r="250" spans="2:6" ht="12.75">
      <c r="B250" s="180" t="s">
        <v>143</v>
      </c>
      <c r="C250" s="127" t="s">
        <v>2394</v>
      </c>
      <c r="D250" s="127">
        <v>10</v>
      </c>
      <c r="E250" s="127" t="s">
        <v>2415</v>
      </c>
      <c r="F250" s="38" t="s">
        <v>737</v>
      </c>
    </row>
    <row r="251" spans="2:6" ht="12.75">
      <c r="B251" s="180" t="s">
        <v>2693</v>
      </c>
      <c r="C251" s="127" t="s">
        <v>2390</v>
      </c>
      <c r="D251" s="127">
        <v>0</v>
      </c>
      <c r="E251" s="127" t="s">
        <v>2415</v>
      </c>
      <c r="F251" s="38" t="s">
        <v>816</v>
      </c>
    </row>
    <row r="252" spans="2:6" ht="12.75">
      <c r="B252" s="180" t="s">
        <v>2639</v>
      </c>
      <c r="C252" s="127" t="s">
        <v>2394</v>
      </c>
      <c r="D252" s="127">
        <v>0</v>
      </c>
      <c r="E252" s="127" t="s">
        <v>2415</v>
      </c>
      <c r="F252" s="38" t="s">
        <v>737</v>
      </c>
    </row>
    <row r="253" spans="2:6" ht="12.75">
      <c r="B253" s="180" t="s">
        <v>2638</v>
      </c>
      <c r="C253" s="127" t="s">
        <v>2390</v>
      </c>
      <c r="D253" s="127">
        <v>0</v>
      </c>
      <c r="E253" s="127" t="s">
        <v>764</v>
      </c>
      <c r="F253" s="38" t="s">
        <v>817</v>
      </c>
    </row>
    <row r="254" spans="2:6" ht="12.75">
      <c r="B254" s="180" t="s">
        <v>54</v>
      </c>
      <c r="C254" s="127" t="s">
        <v>2393</v>
      </c>
      <c r="D254" s="127">
        <v>0</v>
      </c>
      <c r="E254" s="127" t="s">
        <v>2415</v>
      </c>
      <c r="F254" s="38" t="s">
        <v>737</v>
      </c>
    </row>
    <row r="255" spans="2:6" ht="12.75">
      <c r="B255" s="180" t="s">
        <v>123</v>
      </c>
      <c r="C255" s="127" t="s">
        <v>2393</v>
      </c>
      <c r="D255" s="127">
        <v>0</v>
      </c>
      <c r="E255" s="127" t="s">
        <v>764</v>
      </c>
      <c r="F255" s="38" t="s">
        <v>817</v>
      </c>
    </row>
    <row r="256" spans="2:6" ht="12.75">
      <c r="B256" s="180" t="s">
        <v>2636</v>
      </c>
      <c r="C256" s="127" t="s">
        <v>2390</v>
      </c>
      <c r="D256" s="127">
        <v>0</v>
      </c>
      <c r="E256" s="127" t="s">
        <v>2415</v>
      </c>
      <c r="F256" s="38" t="s">
        <v>817</v>
      </c>
    </row>
    <row r="257" spans="2:6" ht="12.75">
      <c r="B257" s="180" t="s">
        <v>124</v>
      </c>
      <c r="C257" s="127" t="s">
        <v>2391</v>
      </c>
      <c r="D257" s="127">
        <v>0</v>
      </c>
      <c r="E257" s="127" t="s">
        <v>2415</v>
      </c>
      <c r="F257" s="38" t="s">
        <v>738</v>
      </c>
    </row>
    <row r="258" spans="2:6" ht="12.75">
      <c r="B258" s="180" t="s">
        <v>23</v>
      </c>
      <c r="C258" s="127" t="s">
        <v>2391</v>
      </c>
      <c r="D258" s="127">
        <v>5</v>
      </c>
      <c r="E258" s="127" t="s">
        <v>2415</v>
      </c>
      <c r="F258" s="38" t="s">
        <v>737</v>
      </c>
    </row>
    <row r="259" spans="2:6" ht="12.75">
      <c r="B259" s="180" t="s">
        <v>150</v>
      </c>
      <c r="C259" s="127" t="s">
        <v>2392</v>
      </c>
      <c r="D259" s="127">
        <v>3</v>
      </c>
      <c r="E259" s="127" t="s">
        <v>2415</v>
      </c>
      <c r="F259" s="38" t="s">
        <v>739</v>
      </c>
    </row>
    <row r="260" spans="2:6" ht="12.75">
      <c r="B260" s="180" t="s">
        <v>170</v>
      </c>
      <c r="C260" s="127" t="s">
        <v>2584</v>
      </c>
      <c r="D260" s="127">
        <v>0</v>
      </c>
      <c r="E260" s="127" t="s">
        <v>2415</v>
      </c>
      <c r="F260" s="38" t="s">
        <v>738</v>
      </c>
    </row>
    <row r="261" spans="2:6" ht="12.75">
      <c r="B261" s="180" t="s">
        <v>146</v>
      </c>
      <c r="C261" s="127" t="s">
        <v>2390</v>
      </c>
      <c r="D261" s="127">
        <v>0</v>
      </c>
      <c r="E261" s="127" t="s">
        <v>764</v>
      </c>
      <c r="F261" s="38" t="s">
        <v>817</v>
      </c>
    </row>
    <row r="262" spans="2:6" ht="12.75">
      <c r="B262" s="180" t="s">
        <v>112</v>
      </c>
      <c r="C262" s="127" t="s">
        <v>2392</v>
      </c>
      <c r="D262" s="127">
        <v>0</v>
      </c>
      <c r="E262" s="127" t="s">
        <v>764</v>
      </c>
      <c r="F262" s="38" t="s">
        <v>817</v>
      </c>
    </row>
    <row r="263" spans="2:6" ht="12.75">
      <c r="B263" s="180" t="s">
        <v>11</v>
      </c>
      <c r="C263" s="127" t="s">
        <v>2393</v>
      </c>
      <c r="D263" s="127">
        <v>0</v>
      </c>
      <c r="E263" s="127" t="s">
        <v>2415</v>
      </c>
      <c r="F263" s="38" t="s">
        <v>816</v>
      </c>
    </row>
    <row r="264" spans="2:6" ht="12.75">
      <c r="B264" s="180" t="s">
        <v>75</v>
      </c>
      <c r="C264" s="127" t="s">
        <v>2395</v>
      </c>
      <c r="D264" s="127">
        <v>0</v>
      </c>
      <c r="E264" s="127" t="s">
        <v>764</v>
      </c>
      <c r="F264" s="38" t="s">
        <v>817</v>
      </c>
    </row>
    <row r="265" spans="2:6" ht="12.75">
      <c r="B265" s="180" t="s">
        <v>110</v>
      </c>
      <c r="C265" s="127" t="s">
        <v>2394</v>
      </c>
      <c r="D265" s="127">
        <v>10</v>
      </c>
      <c r="E265" s="127" t="s">
        <v>764</v>
      </c>
      <c r="F265" s="38" t="s">
        <v>738</v>
      </c>
    </row>
    <row r="266" spans="2:6" ht="12.75">
      <c r="B266" s="180" t="s">
        <v>2644</v>
      </c>
      <c r="C266" s="127" t="s">
        <v>2393</v>
      </c>
      <c r="D266" s="127">
        <v>0</v>
      </c>
      <c r="E266" s="127" t="s">
        <v>764</v>
      </c>
      <c r="F266" s="38" t="s">
        <v>817</v>
      </c>
    </row>
    <row r="267" spans="2:6" ht="12.75">
      <c r="B267" s="180" t="s">
        <v>158</v>
      </c>
      <c r="C267" s="127" t="s">
        <v>2391</v>
      </c>
      <c r="D267" s="127">
        <v>10</v>
      </c>
      <c r="E267" s="127" t="s">
        <v>2415</v>
      </c>
      <c r="F267" s="38" t="s">
        <v>737</v>
      </c>
    </row>
    <row r="268" spans="2:6" ht="12.75">
      <c r="B268" s="180" t="s">
        <v>2678</v>
      </c>
      <c r="C268" s="127" t="s">
        <v>2390</v>
      </c>
      <c r="D268" s="127">
        <v>0</v>
      </c>
      <c r="E268" s="127" t="s">
        <v>764</v>
      </c>
      <c r="F268" s="38" t="s">
        <v>817</v>
      </c>
    </row>
    <row r="269" spans="2:6" ht="12.75">
      <c r="B269" s="180" t="s">
        <v>7</v>
      </c>
      <c r="C269" s="127" t="s">
        <v>2390</v>
      </c>
      <c r="D269" s="127">
        <v>0</v>
      </c>
      <c r="E269" s="127" t="s">
        <v>2415</v>
      </c>
      <c r="F269" s="38" t="s">
        <v>737</v>
      </c>
    </row>
    <row r="270" spans="2:6" ht="12.75">
      <c r="B270" s="180" t="s">
        <v>98</v>
      </c>
      <c r="C270" s="127" t="s">
        <v>2390</v>
      </c>
      <c r="D270" s="127">
        <v>0</v>
      </c>
      <c r="E270" s="127" t="s">
        <v>764</v>
      </c>
      <c r="F270" s="38" t="s">
        <v>817</v>
      </c>
    </row>
    <row r="271" spans="2:6" ht="12.75">
      <c r="B271" s="180" t="s">
        <v>2692</v>
      </c>
      <c r="C271" s="127" t="s">
        <v>2394</v>
      </c>
      <c r="D271" s="127">
        <v>0</v>
      </c>
      <c r="E271" s="127" t="s">
        <v>2415</v>
      </c>
      <c r="F271" s="38" t="s">
        <v>738</v>
      </c>
    </row>
    <row r="272" spans="2:6" ht="12.75">
      <c r="B272" s="180" t="s">
        <v>157</v>
      </c>
      <c r="C272" s="127" t="s">
        <v>2391</v>
      </c>
      <c r="D272" s="127">
        <v>13</v>
      </c>
      <c r="E272" s="127" t="s">
        <v>2415</v>
      </c>
      <c r="F272" s="38" t="s">
        <v>737</v>
      </c>
    </row>
    <row r="273" spans="2:6" ht="12.75">
      <c r="B273" s="180" t="s">
        <v>2680</v>
      </c>
      <c r="C273" s="127" t="s">
        <v>2394</v>
      </c>
      <c r="D273" s="127">
        <v>0</v>
      </c>
      <c r="E273" s="127" t="s">
        <v>2415</v>
      </c>
      <c r="F273" s="38" t="s">
        <v>817</v>
      </c>
    </row>
    <row r="274" spans="2:6" ht="12.75">
      <c r="B274" s="180" t="s">
        <v>171</v>
      </c>
      <c r="C274" s="127" t="s">
        <v>2390</v>
      </c>
      <c r="D274" s="127">
        <v>0</v>
      </c>
      <c r="E274" s="127" t="s">
        <v>2415</v>
      </c>
      <c r="F274" s="38" t="s">
        <v>817</v>
      </c>
    </row>
    <row r="275" spans="2:6" ht="12.75">
      <c r="B275" s="180" t="s">
        <v>9</v>
      </c>
      <c r="C275" s="127" t="s">
        <v>2395</v>
      </c>
      <c r="D275" s="127">
        <v>0</v>
      </c>
      <c r="E275" s="127" t="s">
        <v>2415</v>
      </c>
      <c r="F275" s="38" t="s">
        <v>817</v>
      </c>
    </row>
    <row r="276" spans="2:6" ht="12.75">
      <c r="B276" s="180" t="s">
        <v>2643</v>
      </c>
      <c r="C276" s="127" t="s">
        <v>2392</v>
      </c>
      <c r="D276" s="127">
        <v>0</v>
      </c>
      <c r="E276" s="127" t="s">
        <v>2415</v>
      </c>
      <c r="F276" s="38" t="s">
        <v>817</v>
      </c>
    </row>
    <row r="277" spans="2:6" ht="12.75">
      <c r="B277" s="180" t="s">
        <v>2641</v>
      </c>
      <c r="C277" s="127" t="s">
        <v>2391</v>
      </c>
      <c r="D277" s="127">
        <v>0</v>
      </c>
      <c r="E277" s="127" t="s">
        <v>2415</v>
      </c>
      <c r="F277" s="38" t="s">
        <v>738</v>
      </c>
    </row>
    <row r="278" spans="2:6" ht="12.75">
      <c r="B278" s="181" t="s">
        <v>126</v>
      </c>
      <c r="C278" s="182" t="s">
        <v>2394</v>
      </c>
      <c r="D278" s="182">
        <v>0</v>
      </c>
      <c r="E278" s="182" t="s">
        <v>764</v>
      </c>
      <c r="F278" s="36" t="s">
        <v>738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9"/>
  <dimension ref="A1:AN122"/>
  <sheetViews>
    <sheetView zoomScale="75" zoomScaleNormal="75" workbookViewId="0" topLeftCell="A1">
      <pane ySplit="2" topLeftCell="BM3" activePane="bottomLeft" state="frozen"/>
      <selection pane="topLeft" activeCell="I1" sqref="I1"/>
      <selection pane="bottomLeft" activeCell="A1" sqref="A1"/>
    </sheetView>
  </sheetViews>
  <sheetFormatPr defaultColWidth="9.33203125" defaultRowHeight="12.75"/>
  <cols>
    <col min="1" max="1" width="4.83203125" style="166" bestFit="1" customWidth="1"/>
    <col min="2" max="2" width="20" style="166" bestFit="1" customWidth="1"/>
    <col min="3" max="3" width="7" style="95" bestFit="1" customWidth="1"/>
    <col min="4" max="4" width="9.16015625" style="95" bestFit="1" customWidth="1"/>
    <col min="5" max="5" width="9.66015625" style="457" bestFit="1" customWidth="1"/>
    <col min="6" max="6" width="10.33203125" style="95" bestFit="1" customWidth="1"/>
    <col min="7" max="7" width="9.5" style="95" bestFit="1" customWidth="1"/>
    <col min="8" max="8" width="25.83203125" style="95" bestFit="1" customWidth="1"/>
    <col min="9" max="9" width="10.16015625" style="95" bestFit="1" customWidth="1"/>
    <col min="10" max="10" width="19.5" style="166" bestFit="1" customWidth="1"/>
    <col min="11" max="11" width="4.83203125" style="166" bestFit="1" customWidth="1"/>
    <col min="12" max="12" width="21.5" style="166" bestFit="1" customWidth="1"/>
    <col min="13" max="13" width="8.66015625" style="95" bestFit="1" customWidth="1"/>
    <col min="14" max="14" width="11" style="95" bestFit="1" customWidth="1"/>
    <col min="15" max="15" width="11.33203125" style="457" bestFit="1" customWidth="1"/>
    <col min="16" max="16" width="12.16015625" style="95" bestFit="1" customWidth="1"/>
    <col min="17" max="17" width="9" style="95" bestFit="1" customWidth="1"/>
    <col min="18" max="18" width="25.5" style="95" bestFit="1" customWidth="1"/>
    <col min="19" max="19" width="11.66015625" style="95" bestFit="1" customWidth="1"/>
    <col min="20" max="20" width="19.5" style="166" customWidth="1"/>
    <col min="21" max="21" width="4.83203125" style="166" bestFit="1" customWidth="1"/>
    <col min="22" max="22" width="26.33203125" style="502" bestFit="1" customWidth="1"/>
    <col min="23" max="23" width="8.66015625" style="95" bestFit="1" customWidth="1"/>
    <col min="24" max="24" width="11" style="95" bestFit="1" customWidth="1"/>
    <col min="25" max="25" width="11.33203125" style="457" bestFit="1" customWidth="1"/>
    <col min="26" max="26" width="12.16015625" style="95" bestFit="1" customWidth="1"/>
    <col min="27" max="27" width="11.33203125" style="95" bestFit="1" customWidth="1"/>
    <col min="28" max="28" width="26.16015625" style="95" bestFit="1" customWidth="1"/>
    <col min="29" max="29" width="12.5" style="95" bestFit="1" customWidth="1"/>
    <col min="30" max="30" width="19.5" style="502" customWidth="1"/>
    <col min="31" max="31" width="4.83203125" style="95" bestFit="1" customWidth="1"/>
    <col min="32" max="32" width="21.5" style="166" bestFit="1" customWidth="1"/>
    <col min="33" max="33" width="8.66015625" style="95" bestFit="1" customWidth="1"/>
    <col min="34" max="34" width="11" style="95" bestFit="1" customWidth="1"/>
    <col min="35" max="35" width="11.33203125" style="457" bestFit="1" customWidth="1"/>
    <col min="36" max="36" width="12.16015625" style="95" bestFit="1" customWidth="1"/>
    <col min="37" max="37" width="9" style="95" bestFit="1" customWidth="1"/>
    <col min="38" max="38" width="30.83203125" style="95" bestFit="1" customWidth="1"/>
    <col min="39" max="39" width="11.66015625" style="95" customWidth="1"/>
    <col min="40" max="40" width="19.5" style="166" bestFit="1" customWidth="1"/>
    <col min="41" max="46" width="9.33203125" style="166" customWidth="1"/>
    <col min="47" max="47" width="9.83203125" style="166" bestFit="1" customWidth="1"/>
    <col min="48" max="16384" width="9.33203125" style="166" customWidth="1"/>
  </cols>
  <sheetData>
    <row r="1" spans="2:40" ht="12.75">
      <c r="B1" s="686" t="s">
        <v>2601</v>
      </c>
      <c r="C1" s="687"/>
      <c r="D1" s="687"/>
      <c r="E1" s="687"/>
      <c r="F1" s="687"/>
      <c r="G1" s="687"/>
      <c r="H1" s="687"/>
      <c r="I1" s="687"/>
      <c r="J1" s="688"/>
      <c r="L1" s="686" t="s">
        <v>2602</v>
      </c>
      <c r="M1" s="687"/>
      <c r="N1" s="687"/>
      <c r="O1" s="687"/>
      <c r="P1" s="687"/>
      <c r="Q1" s="687"/>
      <c r="R1" s="687"/>
      <c r="S1" s="687"/>
      <c r="T1" s="688"/>
      <c r="V1" s="686" t="s">
        <v>2603</v>
      </c>
      <c r="W1" s="687"/>
      <c r="X1" s="687"/>
      <c r="Y1" s="687"/>
      <c r="Z1" s="687"/>
      <c r="AA1" s="687"/>
      <c r="AB1" s="687"/>
      <c r="AC1" s="687"/>
      <c r="AD1" s="688"/>
      <c r="AF1" s="686" t="s">
        <v>2608</v>
      </c>
      <c r="AG1" s="687"/>
      <c r="AH1" s="687"/>
      <c r="AI1" s="687"/>
      <c r="AJ1" s="687"/>
      <c r="AK1" s="687"/>
      <c r="AL1" s="687"/>
      <c r="AM1" s="687"/>
      <c r="AN1" s="688"/>
    </row>
    <row r="2" spans="2:40" ht="12.75">
      <c r="B2" s="174" t="s">
        <v>2446</v>
      </c>
      <c r="C2" s="175" t="s">
        <v>2447</v>
      </c>
      <c r="D2" s="176" t="s">
        <v>2448</v>
      </c>
      <c r="E2" s="458" t="s">
        <v>172</v>
      </c>
      <c r="F2" s="175" t="s">
        <v>2543</v>
      </c>
      <c r="G2" s="175" t="s">
        <v>2406</v>
      </c>
      <c r="H2" s="175" t="s">
        <v>2450</v>
      </c>
      <c r="I2" s="175" t="s">
        <v>2449</v>
      </c>
      <c r="J2" s="177" t="s">
        <v>857</v>
      </c>
      <c r="L2" s="489" t="s">
        <v>2446</v>
      </c>
      <c r="M2" s="490" t="s">
        <v>2447</v>
      </c>
      <c r="N2" s="491" t="s">
        <v>2448</v>
      </c>
      <c r="O2" s="492" t="s">
        <v>172</v>
      </c>
      <c r="P2" s="490" t="s">
        <v>2543</v>
      </c>
      <c r="Q2" s="490" t="s">
        <v>2406</v>
      </c>
      <c r="R2" s="490" t="s">
        <v>2450</v>
      </c>
      <c r="S2" s="490" t="s">
        <v>2449</v>
      </c>
      <c r="T2" s="493" t="s">
        <v>857</v>
      </c>
      <c r="V2" s="489" t="s">
        <v>2446</v>
      </c>
      <c r="W2" s="490" t="s">
        <v>2447</v>
      </c>
      <c r="X2" s="491" t="s">
        <v>2448</v>
      </c>
      <c r="Y2" s="492" t="s">
        <v>172</v>
      </c>
      <c r="Z2" s="490" t="s">
        <v>2543</v>
      </c>
      <c r="AA2" s="490" t="s">
        <v>2406</v>
      </c>
      <c r="AB2" s="490" t="s">
        <v>2450</v>
      </c>
      <c r="AC2" s="490" t="s">
        <v>2449</v>
      </c>
      <c r="AD2" s="541" t="s">
        <v>857</v>
      </c>
      <c r="AF2" s="489" t="s">
        <v>2446</v>
      </c>
      <c r="AG2" s="490" t="s">
        <v>2447</v>
      </c>
      <c r="AH2" s="491" t="s">
        <v>2448</v>
      </c>
      <c r="AI2" s="492" t="s">
        <v>172</v>
      </c>
      <c r="AJ2" s="490" t="s">
        <v>2543</v>
      </c>
      <c r="AK2" s="490" t="s">
        <v>2406</v>
      </c>
      <c r="AL2" s="490" t="s">
        <v>2450</v>
      </c>
      <c r="AM2" s="490" t="s">
        <v>2449</v>
      </c>
      <c r="AN2" s="493" t="s">
        <v>857</v>
      </c>
    </row>
    <row r="3" spans="1:40" ht="12.75">
      <c r="A3" s="166">
        <v>1</v>
      </c>
      <c r="B3" s="494" t="s">
        <v>2053</v>
      </c>
      <c r="C3" s="495">
        <v>1</v>
      </c>
      <c r="D3" s="495" t="s">
        <v>178</v>
      </c>
      <c r="E3" s="504" t="s">
        <v>407</v>
      </c>
      <c r="F3" s="495" t="s">
        <v>780</v>
      </c>
      <c r="G3" s="495" t="s">
        <v>174</v>
      </c>
      <c r="H3" s="497" t="s">
        <v>2052</v>
      </c>
      <c r="I3" s="495" t="s">
        <v>889</v>
      </c>
      <c r="J3" s="498" t="s">
        <v>1525</v>
      </c>
      <c r="K3" s="166">
        <f>K2+1</f>
        <v>1</v>
      </c>
      <c r="L3" s="494" t="s">
        <v>177</v>
      </c>
      <c r="M3" s="495">
        <v>1</v>
      </c>
      <c r="N3" s="495" t="s">
        <v>178</v>
      </c>
      <c r="O3" s="496" t="s">
        <v>180</v>
      </c>
      <c r="P3" s="495" t="s">
        <v>780</v>
      </c>
      <c r="Q3" s="495" t="s">
        <v>174</v>
      </c>
      <c r="R3" s="497" t="s">
        <v>179</v>
      </c>
      <c r="S3" s="497" t="s">
        <v>1143</v>
      </c>
      <c r="T3" s="498" t="s">
        <v>1555</v>
      </c>
      <c r="U3" s="166">
        <f>U2+1</f>
        <v>1</v>
      </c>
      <c r="V3" s="499" t="s">
        <v>2182</v>
      </c>
      <c r="W3" s="495">
        <v>1</v>
      </c>
      <c r="X3" s="495">
        <v>1</v>
      </c>
      <c r="Y3" s="504" t="s">
        <v>225</v>
      </c>
      <c r="Z3" s="495" t="s">
        <v>780</v>
      </c>
      <c r="AA3" s="495" t="s">
        <v>194</v>
      </c>
      <c r="AB3" s="495" t="s">
        <v>858</v>
      </c>
      <c r="AC3" s="495" t="s">
        <v>888</v>
      </c>
      <c r="AD3" s="542" t="s">
        <v>1576</v>
      </c>
      <c r="AE3" s="95">
        <f>AE2+1</f>
        <v>1</v>
      </c>
      <c r="AF3" s="494" t="s">
        <v>184</v>
      </c>
      <c r="AG3" s="495">
        <v>1</v>
      </c>
      <c r="AH3" s="495">
        <v>2</v>
      </c>
      <c r="AI3" s="496" t="s">
        <v>186</v>
      </c>
      <c r="AJ3" s="495" t="s">
        <v>780</v>
      </c>
      <c r="AK3" s="495" t="s">
        <v>185</v>
      </c>
      <c r="AL3" s="497" t="s">
        <v>858</v>
      </c>
      <c r="AM3" s="497" t="s">
        <v>887</v>
      </c>
      <c r="AN3" s="498" t="s">
        <v>1602</v>
      </c>
    </row>
    <row r="4" spans="1:40" ht="12.75">
      <c r="A4" s="166">
        <f>A3+1</f>
        <v>2</v>
      </c>
      <c r="B4" s="94" t="s">
        <v>173</v>
      </c>
      <c r="C4" s="95">
        <v>1</v>
      </c>
      <c r="D4" s="95">
        <v>1</v>
      </c>
      <c r="E4" s="456" t="s">
        <v>176</v>
      </c>
      <c r="F4" s="95" t="s">
        <v>780</v>
      </c>
      <c r="G4" s="95" t="s">
        <v>174</v>
      </c>
      <c r="H4" s="96" t="s">
        <v>175</v>
      </c>
      <c r="I4" s="96" t="s">
        <v>889</v>
      </c>
      <c r="J4" s="97" t="s">
        <v>1526</v>
      </c>
      <c r="K4" s="166">
        <f aca="true" t="shared" si="0" ref="K4:K67">K3+1</f>
        <v>2</v>
      </c>
      <c r="L4" s="94" t="s">
        <v>1868</v>
      </c>
      <c r="M4" s="95">
        <v>1</v>
      </c>
      <c r="N4" s="95" t="s">
        <v>178</v>
      </c>
      <c r="O4" s="457" t="s">
        <v>317</v>
      </c>
      <c r="P4" s="95" t="s">
        <v>780</v>
      </c>
      <c r="Q4" s="95" t="s">
        <v>185</v>
      </c>
      <c r="R4" s="95" t="s">
        <v>1855</v>
      </c>
      <c r="S4" s="95" t="s">
        <v>889</v>
      </c>
      <c r="T4" s="97" t="s">
        <v>1556</v>
      </c>
      <c r="U4" s="166">
        <f aca="true" t="shared" si="1" ref="U4:U67">U3+1</f>
        <v>2</v>
      </c>
      <c r="V4" s="500" t="s">
        <v>181</v>
      </c>
      <c r="W4" s="95">
        <v>1</v>
      </c>
      <c r="X4" s="95">
        <v>1</v>
      </c>
      <c r="Y4" s="456" t="s">
        <v>183</v>
      </c>
      <c r="Z4" s="95" t="s">
        <v>780</v>
      </c>
      <c r="AA4" s="95" t="s">
        <v>182</v>
      </c>
      <c r="AB4" s="96" t="s">
        <v>860</v>
      </c>
      <c r="AC4" s="96" t="s">
        <v>896</v>
      </c>
      <c r="AD4" s="543" t="s">
        <v>1577</v>
      </c>
      <c r="AE4" s="95">
        <f aca="true" t="shared" si="2" ref="AE4:AE67">AE3+1</f>
        <v>2</v>
      </c>
      <c r="AF4" s="94" t="s">
        <v>2280</v>
      </c>
      <c r="AG4" s="95">
        <v>1</v>
      </c>
      <c r="AH4" s="95" t="s">
        <v>178</v>
      </c>
      <c r="AI4" s="457" t="s">
        <v>180</v>
      </c>
      <c r="AJ4" s="95" t="s">
        <v>780</v>
      </c>
      <c r="AK4" s="95" t="s">
        <v>220</v>
      </c>
      <c r="AL4" s="95" t="s">
        <v>2281</v>
      </c>
      <c r="AM4" s="95" t="s">
        <v>895</v>
      </c>
      <c r="AN4" s="97" t="s">
        <v>1603</v>
      </c>
    </row>
    <row r="5" spans="1:40" ht="12.75">
      <c r="A5" s="166">
        <f aca="true" t="shared" si="3" ref="A5:A68">A4+1</f>
        <v>3</v>
      </c>
      <c r="B5" s="94" t="s">
        <v>187</v>
      </c>
      <c r="C5" s="95">
        <v>1</v>
      </c>
      <c r="D5" s="95" t="s">
        <v>178</v>
      </c>
      <c r="E5" s="456" t="s">
        <v>180</v>
      </c>
      <c r="F5" s="95" t="s">
        <v>780</v>
      </c>
      <c r="G5" s="95" t="s">
        <v>174</v>
      </c>
      <c r="H5" s="96" t="s">
        <v>864</v>
      </c>
      <c r="I5" s="96" t="s">
        <v>889</v>
      </c>
      <c r="J5" s="97" t="s">
        <v>1526</v>
      </c>
      <c r="K5" s="166">
        <f t="shared" si="0"/>
        <v>3</v>
      </c>
      <c r="L5" s="94" t="s">
        <v>188</v>
      </c>
      <c r="M5" s="95">
        <v>1</v>
      </c>
      <c r="N5" s="95">
        <v>2</v>
      </c>
      <c r="O5" s="456" t="s">
        <v>189</v>
      </c>
      <c r="P5" s="95" t="s">
        <v>780</v>
      </c>
      <c r="Q5" s="95" t="s">
        <v>174</v>
      </c>
      <c r="R5" s="96" t="s">
        <v>877</v>
      </c>
      <c r="S5" s="96" t="s">
        <v>1140</v>
      </c>
      <c r="T5" s="97" t="s">
        <v>1555</v>
      </c>
      <c r="U5" s="166">
        <f t="shared" si="1"/>
        <v>3</v>
      </c>
      <c r="V5" s="500" t="s">
        <v>190</v>
      </c>
      <c r="W5" s="95">
        <v>1</v>
      </c>
      <c r="X5" s="95">
        <v>2</v>
      </c>
      <c r="Y5" s="456" t="s">
        <v>192</v>
      </c>
      <c r="Z5" s="95" t="s">
        <v>780</v>
      </c>
      <c r="AA5" s="95" t="s">
        <v>174</v>
      </c>
      <c r="AB5" s="96" t="s">
        <v>191</v>
      </c>
      <c r="AC5" s="96" t="s">
        <v>1137</v>
      </c>
      <c r="AD5" s="543" t="s">
        <v>1577</v>
      </c>
      <c r="AE5" s="95">
        <f t="shared" si="2"/>
        <v>3</v>
      </c>
      <c r="AF5" s="94" t="s">
        <v>193</v>
      </c>
      <c r="AG5" s="95">
        <v>1</v>
      </c>
      <c r="AH5" s="95">
        <v>1</v>
      </c>
      <c r="AI5" s="456" t="s">
        <v>195</v>
      </c>
      <c r="AJ5" s="95" t="s">
        <v>780</v>
      </c>
      <c r="AK5" s="95" t="s">
        <v>194</v>
      </c>
      <c r="AL5" s="96" t="s">
        <v>859</v>
      </c>
      <c r="AM5" s="96" t="s">
        <v>888</v>
      </c>
      <c r="AN5" s="97" t="s">
        <v>1602</v>
      </c>
    </row>
    <row r="6" spans="1:40" ht="12.75">
      <c r="A6" s="166">
        <f t="shared" si="3"/>
        <v>4</v>
      </c>
      <c r="B6" s="94" t="s">
        <v>196</v>
      </c>
      <c r="C6" s="95">
        <v>1</v>
      </c>
      <c r="D6" s="95">
        <v>1</v>
      </c>
      <c r="E6" s="456" t="s">
        <v>198</v>
      </c>
      <c r="F6" s="95" t="s">
        <v>780</v>
      </c>
      <c r="G6" s="95" t="s">
        <v>197</v>
      </c>
      <c r="H6" s="96" t="s">
        <v>858</v>
      </c>
      <c r="I6" s="95" t="s">
        <v>888</v>
      </c>
      <c r="J6" s="97" t="s">
        <v>1526</v>
      </c>
      <c r="K6" s="166">
        <f t="shared" si="0"/>
        <v>4</v>
      </c>
      <c r="L6" s="94" t="s">
        <v>1869</v>
      </c>
      <c r="M6" s="95">
        <v>1</v>
      </c>
      <c r="N6" s="95" t="s">
        <v>178</v>
      </c>
      <c r="O6" s="457" t="s">
        <v>391</v>
      </c>
      <c r="P6" s="95" t="s">
        <v>780</v>
      </c>
      <c r="Q6" s="95" t="s">
        <v>174</v>
      </c>
      <c r="R6" s="95" t="s">
        <v>859</v>
      </c>
      <c r="S6" s="95" t="s">
        <v>1150</v>
      </c>
      <c r="T6" s="97" t="s">
        <v>1556</v>
      </c>
      <c r="U6" s="166">
        <f t="shared" si="1"/>
        <v>4</v>
      </c>
      <c r="V6" s="500" t="s">
        <v>202</v>
      </c>
      <c r="W6" s="95">
        <v>1</v>
      </c>
      <c r="X6" s="95">
        <v>1</v>
      </c>
      <c r="Y6" s="456" t="s">
        <v>203</v>
      </c>
      <c r="Z6" s="95" t="s">
        <v>780</v>
      </c>
      <c r="AA6" s="95" t="s">
        <v>194</v>
      </c>
      <c r="AB6" s="96" t="s">
        <v>861</v>
      </c>
      <c r="AC6" s="95" t="s">
        <v>891</v>
      </c>
      <c r="AD6" s="543" t="s">
        <v>1577</v>
      </c>
      <c r="AE6" s="95">
        <f t="shared" si="2"/>
        <v>4</v>
      </c>
      <c r="AF6" s="94" t="s">
        <v>2451</v>
      </c>
      <c r="AG6" s="95">
        <v>1</v>
      </c>
      <c r="AH6" s="95">
        <v>1</v>
      </c>
      <c r="AI6" s="456" t="s">
        <v>2452</v>
      </c>
      <c r="AJ6" s="95" t="s">
        <v>780</v>
      </c>
      <c r="AK6" s="95" t="s">
        <v>185</v>
      </c>
      <c r="AL6" s="96" t="s">
        <v>2394</v>
      </c>
      <c r="AM6" s="95" t="s">
        <v>888</v>
      </c>
      <c r="AN6" s="97" t="s">
        <v>1602</v>
      </c>
    </row>
    <row r="7" spans="1:40" ht="12.75">
      <c r="A7" s="166">
        <f t="shared" si="3"/>
        <v>5</v>
      </c>
      <c r="B7" s="94" t="s">
        <v>204</v>
      </c>
      <c r="C7" s="95">
        <v>1</v>
      </c>
      <c r="D7" s="95">
        <v>2</v>
      </c>
      <c r="E7" s="456" t="s">
        <v>189</v>
      </c>
      <c r="F7" s="95" t="s">
        <v>780</v>
      </c>
      <c r="G7" s="95" t="s">
        <v>205</v>
      </c>
      <c r="H7" s="96" t="s">
        <v>875</v>
      </c>
      <c r="I7" s="96" t="s">
        <v>890</v>
      </c>
      <c r="J7" s="97" t="s">
        <v>1526</v>
      </c>
      <c r="K7" s="166">
        <f t="shared" si="0"/>
        <v>5</v>
      </c>
      <c r="L7" s="94" t="s">
        <v>1870</v>
      </c>
      <c r="M7" s="95">
        <v>1</v>
      </c>
      <c r="N7" s="95">
        <v>1</v>
      </c>
      <c r="O7" s="457" t="s">
        <v>1856</v>
      </c>
      <c r="P7" s="95" t="s">
        <v>780</v>
      </c>
      <c r="Q7" s="95" t="s">
        <v>174</v>
      </c>
      <c r="R7" s="95" t="s">
        <v>1865</v>
      </c>
      <c r="S7" s="95" t="s">
        <v>891</v>
      </c>
      <c r="T7" s="97" t="s">
        <v>1556</v>
      </c>
      <c r="U7" s="166">
        <f t="shared" si="1"/>
        <v>5</v>
      </c>
      <c r="V7" s="500" t="s">
        <v>208</v>
      </c>
      <c r="W7" s="95">
        <v>1</v>
      </c>
      <c r="X7" s="95" t="s">
        <v>178</v>
      </c>
      <c r="Y7" s="456" t="s">
        <v>180</v>
      </c>
      <c r="Z7" s="95" t="s">
        <v>780</v>
      </c>
      <c r="AA7" s="95" t="s">
        <v>182</v>
      </c>
      <c r="AB7" s="96" t="s">
        <v>859</v>
      </c>
      <c r="AC7" s="96" t="s">
        <v>891</v>
      </c>
      <c r="AD7" s="543" t="s">
        <v>1578</v>
      </c>
      <c r="AE7" s="95">
        <f t="shared" si="2"/>
        <v>5</v>
      </c>
      <c r="AF7" s="94" t="s">
        <v>209</v>
      </c>
      <c r="AG7" s="95">
        <v>1</v>
      </c>
      <c r="AH7" s="95">
        <v>1</v>
      </c>
      <c r="AI7" s="456" t="s">
        <v>176</v>
      </c>
      <c r="AJ7" s="95" t="s">
        <v>780</v>
      </c>
      <c r="AK7" s="95" t="s">
        <v>182</v>
      </c>
      <c r="AL7" s="96" t="s">
        <v>859</v>
      </c>
      <c r="AM7" s="96" t="s">
        <v>889</v>
      </c>
      <c r="AN7" s="97" t="s">
        <v>1606</v>
      </c>
    </row>
    <row r="8" spans="1:40" ht="12.75">
      <c r="A8" s="166">
        <f t="shared" si="3"/>
        <v>6</v>
      </c>
      <c r="B8" s="94" t="s">
        <v>210</v>
      </c>
      <c r="C8" s="95">
        <v>1</v>
      </c>
      <c r="D8" s="95">
        <v>1</v>
      </c>
      <c r="E8" s="456" t="s">
        <v>212</v>
      </c>
      <c r="F8" s="95">
        <v>2</v>
      </c>
      <c r="G8" s="95" t="s">
        <v>174</v>
      </c>
      <c r="H8" s="95" t="s">
        <v>211</v>
      </c>
      <c r="I8" s="96" t="s">
        <v>887</v>
      </c>
      <c r="J8" s="97" t="s">
        <v>1527</v>
      </c>
      <c r="K8" s="166">
        <f t="shared" si="0"/>
        <v>6</v>
      </c>
      <c r="L8" s="94" t="s">
        <v>199</v>
      </c>
      <c r="M8" s="95">
        <v>1</v>
      </c>
      <c r="N8" s="95">
        <v>1</v>
      </c>
      <c r="O8" s="456" t="s">
        <v>201</v>
      </c>
      <c r="P8" s="95" t="s">
        <v>780</v>
      </c>
      <c r="Q8" s="95" t="s">
        <v>174</v>
      </c>
      <c r="R8" s="96" t="s">
        <v>200</v>
      </c>
      <c r="S8" s="95" t="s">
        <v>1160</v>
      </c>
      <c r="T8" s="97" t="s">
        <v>1555</v>
      </c>
      <c r="U8" s="166">
        <f t="shared" si="1"/>
        <v>6</v>
      </c>
      <c r="V8" s="500" t="s">
        <v>215</v>
      </c>
      <c r="W8" s="95">
        <v>1</v>
      </c>
      <c r="X8" s="95">
        <v>1</v>
      </c>
      <c r="Y8" s="456" t="s">
        <v>217</v>
      </c>
      <c r="Z8" s="95" t="s">
        <v>780</v>
      </c>
      <c r="AA8" s="95" t="s">
        <v>216</v>
      </c>
      <c r="AB8" s="95" t="s">
        <v>860</v>
      </c>
      <c r="AC8" s="95" t="s">
        <v>888</v>
      </c>
      <c r="AD8" s="543" t="s">
        <v>1578</v>
      </c>
      <c r="AE8" s="95">
        <f t="shared" si="2"/>
        <v>6</v>
      </c>
      <c r="AF8" s="94" t="s">
        <v>218</v>
      </c>
      <c r="AG8" s="95">
        <v>1</v>
      </c>
      <c r="AH8" s="95">
        <v>1</v>
      </c>
      <c r="AI8" s="456" t="s">
        <v>183</v>
      </c>
      <c r="AJ8" s="95" t="s">
        <v>780</v>
      </c>
      <c r="AK8" s="95" t="s">
        <v>182</v>
      </c>
      <c r="AL8" s="95" t="s">
        <v>860</v>
      </c>
      <c r="AM8" s="96" t="s">
        <v>888</v>
      </c>
      <c r="AN8" s="97" t="s">
        <v>1606</v>
      </c>
    </row>
    <row r="9" spans="1:40" ht="12.75">
      <c r="A9" s="166">
        <f t="shared" si="3"/>
        <v>7</v>
      </c>
      <c r="B9" s="94" t="s">
        <v>2054</v>
      </c>
      <c r="C9" s="95">
        <v>1</v>
      </c>
      <c r="D9" s="95" t="s">
        <v>178</v>
      </c>
      <c r="E9" s="457" t="s">
        <v>180</v>
      </c>
      <c r="F9" s="95">
        <v>4</v>
      </c>
      <c r="G9" s="95" t="s">
        <v>205</v>
      </c>
      <c r="H9" s="95" t="s">
        <v>2055</v>
      </c>
      <c r="I9" s="95" t="s">
        <v>889</v>
      </c>
      <c r="J9" s="97" t="s">
        <v>1525</v>
      </c>
      <c r="K9" s="166">
        <f t="shared" si="0"/>
        <v>7</v>
      </c>
      <c r="L9" s="94" t="s">
        <v>206</v>
      </c>
      <c r="M9" s="95">
        <v>1</v>
      </c>
      <c r="N9" s="95">
        <v>1</v>
      </c>
      <c r="O9" s="456" t="s">
        <v>183</v>
      </c>
      <c r="P9" s="95" t="s">
        <v>780</v>
      </c>
      <c r="Q9" s="95" t="s">
        <v>174</v>
      </c>
      <c r="R9" s="96" t="s">
        <v>207</v>
      </c>
      <c r="S9" s="96" t="s">
        <v>892</v>
      </c>
      <c r="T9" s="97" t="s">
        <v>1555</v>
      </c>
      <c r="U9" s="166">
        <f t="shared" si="1"/>
        <v>7</v>
      </c>
      <c r="V9" s="500" t="s">
        <v>223</v>
      </c>
      <c r="W9" s="95">
        <v>1</v>
      </c>
      <c r="X9" s="95">
        <v>1</v>
      </c>
      <c r="Y9" s="456" t="s">
        <v>225</v>
      </c>
      <c r="Z9" s="95" t="s">
        <v>780</v>
      </c>
      <c r="AA9" s="95" t="s">
        <v>224</v>
      </c>
      <c r="AB9" s="95" t="s">
        <v>859</v>
      </c>
      <c r="AC9" s="96" t="s">
        <v>896</v>
      </c>
      <c r="AD9" s="543" t="s">
        <v>1578</v>
      </c>
      <c r="AE9" s="95">
        <f t="shared" si="2"/>
        <v>7</v>
      </c>
      <c r="AF9" s="94" t="s">
        <v>2453</v>
      </c>
      <c r="AG9" s="95">
        <v>1</v>
      </c>
      <c r="AH9" s="95" t="s">
        <v>178</v>
      </c>
      <c r="AI9" s="456" t="s">
        <v>228</v>
      </c>
      <c r="AJ9" s="95" t="s">
        <v>780</v>
      </c>
      <c r="AK9" s="95" t="s">
        <v>226</v>
      </c>
      <c r="AL9" s="95" t="s">
        <v>227</v>
      </c>
      <c r="AM9" s="95" t="s">
        <v>888</v>
      </c>
      <c r="AN9" s="97" t="s">
        <v>1606</v>
      </c>
    </row>
    <row r="10" spans="1:40" ht="12.75">
      <c r="A10" s="166">
        <f t="shared" si="3"/>
        <v>8</v>
      </c>
      <c r="B10" s="94" t="s">
        <v>219</v>
      </c>
      <c r="C10" s="95">
        <v>1</v>
      </c>
      <c r="D10" s="95" t="s">
        <v>178</v>
      </c>
      <c r="E10" s="456" t="s">
        <v>180</v>
      </c>
      <c r="F10" s="95">
        <v>2</v>
      </c>
      <c r="G10" s="95" t="s">
        <v>220</v>
      </c>
      <c r="H10" s="95" t="s">
        <v>221</v>
      </c>
      <c r="I10" s="96" t="s">
        <v>887</v>
      </c>
      <c r="J10" s="97" t="s">
        <v>1527</v>
      </c>
      <c r="K10" s="166">
        <f t="shared" si="0"/>
        <v>8</v>
      </c>
      <c r="L10" s="94" t="s">
        <v>1871</v>
      </c>
      <c r="M10" s="95">
        <v>1</v>
      </c>
      <c r="N10" s="95">
        <v>2</v>
      </c>
      <c r="O10" s="457" t="s">
        <v>1856</v>
      </c>
      <c r="P10" s="95" t="s">
        <v>1866</v>
      </c>
      <c r="Q10" s="95" t="s">
        <v>224</v>
      </c>
      <c r="R10" s="95" t="s">
        <v>1867</v>
      </c>
      <c r="S10" s="95" t="s">
        <v>1125</v>
      </c>
      <c r="T10" s="97" t="s">
        <v>1556</v>
      </c>
      <c r="U10" s="166">
        <f t="shared" si="1"/>
        <v>8</v>
      </c>
      <c r="V10" s="500" t="s">
        <v>231</v>
      </c>
      <c r="W10" s="95">
        <v>1</v>
      </c>
      <c r="X10" s="95">
        <v>1</v>
      </c>
      <c r="Y10" s="456" t="s">
        <v>232</v>
      </c>
      <c r="Z10" s="95" t="s">
        <v>780</v>
      </c>
      <c r="AA10" s="95" t="s">
        <v>174</v>
      </c>
      <c r="AB10" s="96" t="s">
        <v>859</v>
      </c>
      <c r="AC10" s="95" t="s">
        <v>891</v>
      </c>
      <c r="AD10" s="543" t="s">
        <v>1578</v>
      </c>
      <c r="AE10" s="95">
        <f t="shared" si="2"/>
        <v>8</v>
      </c>
      <c r="AF10" s="94" t="s">
        <v>233</v>
      </c>
      <c r="AG10" s="95">
        <v>1</v>
      </c>
      <c r="AH10" s="95">
        <v>1</v>
      </c>
      <c r="AI10" s="456" t="s">
        <v>203</v>
      </c>
      <c r="AJ10" s="95" t="s">
        <v>780</v>
      </c>
      <c r="AK10" s="95" t="s">
        <v>174</v>
      </c>
      <c r="AL10" s="96" t="s">
        <v>234</v>
      </c>
      <c r="AM10" s="95" t="s">
        <v>890</v>
      </c>
      <c r="AN10" s="97" t="s">
        <v>1606</v>
      </c>
    </row>
    <row r="11" spans="1:40" ht="12.75">
      <c r="A11" s="166">
        <f t="shared" si="3"/>
        <v>9</v>
      </c>
      <c r="B11" s="94" t="s">
        <v>2056</v>
      </c>
      <c r="C11" s="95">
        <v>1</v>
      </c>
      <c r="D11" s="95">
        <v>1</v>
      </c>
      <c r="E11" s="457" t="s">
        <v>203</v>
      </c>
      <c r="F11" s="95" t="s">
        <v>2057</v>
      </c>
      <c r="G11" s="95" t="s">
        <v>205</v>
      </c>
      <c r="H11" s="95" t="s">
        <v>2058</v>
      </c>
      <c r="I11" s="95" t="s">
        <v>888</v>
      </c>
      <c r="J11" s="97" t="s">
        <v>1525</v>
      </c>
      <c r="K11" s="166">
        <f t="shared" si="0"/>
        <v>9</v>
      </c>
      <c r="L11" s="94" t="s">
        <v>213</v>
      </c>
      <c r="M11" s="95">
        <v>1</v>
      </c>
      <c r="N11" s="95">
        <v>1</v>
      </c>
      <c r="O11" s="456" t="s">
        <v>176</v>
      </c>
      <c r="P11" s="95" t="s">
        <v>780</v>
      </c>
      <c r="Q11" s="95" t="s">
        <v>205</v>
      </c>
      <c r="R11" s="95" t="s">
        <v>214</v>
      </c>
      <c r="S11" s="96" t="s">
        <v>1161</v>
      </c>
      <c r="T11" s="97" t="s">
        <v>1555</v>
      </c>
      <c r="U11" s="166">
        <f t="shared" si="1"/>
        <v>9</v>
      </c>
      <c r="V11" s="500" t="s">
        <v>240</v>
      </c>
      <c r="W11" s="95">
        <v>1</v>
      </c>
      <c r="X11" s="95" t="s">
        <v>178</v>
      </c>
      <c r="Y11" s="456" t="s">
        <v>242</v>
      </c>
      <c r="Z11" s="95" t="s">
        <v>780</v>
      </c>
      <c r="AA11" s="95" t="s">
        <v>182</v>
      </c>
      <c r="AB11" s="96" t="s">
        <v>241</v>
      </c>
      <c r="AC11" s="95" t="s">
        <v>888</v>
      </c>
      <c r="AD11" s="543" t="s">
        <v>1578</v>
      </c>
      <c r="AE11" s="95">
        <f t="shared" si="2"/>
        <v>9</v>
      </c>
      <c r="AF11" s="94" t="s">
        <v>243</v>
      </c>
      <c r="AG11" s="95">
        <v>1</v>
      </c>
      <c r="AH11" s="95" t="s">
        <v>178</v>
      </c>
      <c r="AI11" s="456" t="s">
        <v>180</v>
      </c>
      <c r="AJ11" s="95" t="s">
        <v>780</v>
      </c>
      <c r="AK11" s="95" t="s">
        <v>238</v>
      </c>
      <c r="AL11" s="96" t="s">
        <v>861</v>
      </c>
      <c r="AM11" s="95" t="s">
        <v>888</v>
      </c>
      <c r="AN11" s="97" t="s">
        <v>1606</v>
      </c>
    </row>
    <row r="12" spans="1:40" ht="12.75">
      <c r="A12" s="166">
        <f t="shared" si="3"/>
        <v>10</v>
      </c>
      <c r="B12" s="94" t="s">
        <v>229</v>
      </c>
      <c r="C12" s="95">
        <v>1</v>
      </c>
      <c r="D12" s="95">
        <v>1</v>
      </c>
      <c r="E12" s="456" t="s">
        <v>203</v>
      </c>
      <c r="F12" s="95" t="s">
        <v>780</v>
      </c>
      <c r="G12" s="95" t="s">
        <v>174</v>
      </c>
      <c r="H12" s="96" t="s">
        <v>886</v>
      </c>
      <c r="I12" s="95" t="s">
        <v>888</v>
      </c>
      <c r="J12" s="97" t="s">
        <v>1527</v>
      </c>
      <c r="K12" s="166">
        <f t="shared" si="0"/>
        <v>10</v>
      </c>
      <c r="L12" s="94" t="s">
        <v>222</v>
      </c>
      <c r="M12" s="95">
        <v>1</v>
      </c>
      <c r="N12" s="95" t="s">
        <v>178</v>
      </c>
      <c r="O12" s="456" t="s">
        <v>180</v>
      </c>
      <c r="P12" s="95" t="s">
        <v>780</v>
      </c>
      <c r="Q12" s="95" t="s">
        <v>174</v>
      </c>
      <c r="R12" s="95" t="s">
        <v>860</v>
      </c>
      <c r="S12" s="96" t="s">
        <v>1125</v>
      </c>
      <c r="T12" s="97" t="s">
        <v>1555</v>
      </c>
      <c r="U12" s="166">
        <f t="shared" si="1"/>
        <v>10</v>
      </c>
      <c r="V12" s="500" t="s">
        <v>2187</v>
      </c>
      <c r="W12" s="95">
        <v>1</v>
      </c>
      <c r="X12" s="95" t="s">
        <v>178</v>
      </c>
      <c r="Y12" s="457" t="s">
        <v>180</v>
      </c>
      <c r="Z12" s="95" t="s">
        <v>780</v>
      </c>
      <c r="AA12" s="95" t="s">
        <v>182</v>
      </c>
      <c r="AB12" s="95" t="s">
        <v>861</v>
      </c>
      <c r="AC12" s="95" t="s">
        <v>888</v>
      </c>
      <c r="AD12" s="543" t="s">
        <v>1576</v>
      </c>
      <c r="AE12" s="95">
        <f t="shared" si="2"/>
        <v>10</v>
      </c>
      <c r="AF12" s="94" t="s">
        <v>2282</v>
      </c>
      <c r="AG12" s="95">
        <v>1</v>
      </c>
      <c r="AH12" s="95">
        <v>1</v>
      </c>
      <c r="AI12" s="457" t="s">
        <v>203</v>
      </c>
      <c r="AJ12" s="96">
        <v>4</v>
      </c>
      <c r="AK12" s="95" t="s">
        <v>323</v>
      </c>
      <c r="AL12" s="95" t="s">
        <v>860</v>
      </c>
      <c r="AM12" s="95" t="s">
        <v>889</v>
      </c>
      <c r="AN12" s="97" t="s">
        <v>1603</v>
      </c>
    </row>
    <row r="13" spans="1:40" ht="12.75">
      <c r="A13" s="166">
        <f t="shared" si="3"/>
        <v>11</v>
      </c>
      <c r="B13" s="94" t="s">
        <v>235</v>
      </c>
      <c r="C13" s="95">
        <v>1</v>
      </c>
      <c r="D13" s="95" t="s">
        <v>178</v>
      </c>
      <c r="E13" s="456" t="s">
        <v>180</v>
      </c>
      <c r="F13" s="95" t="s">
        <v>780</v>
      </c>
      <c r="G13" s="95" t="s">
        <v>174</v>
      </c>
      <c r="H13" s="96" t="s">
        <v>236</v>
      </c>
      <c r="I13" s="95" t="s">
        <v>1137</v>
      </c>
      <c r="J13" s="97" t="s">
        <v>1527</v>
      </c>
      <c r="K13" s="166">
        <f t="shared" si="0"/>
        <v>11</v>
      </c>
      <c r="L13" s="94" t="s">
        <v>230</v>
      </c>
      <c r="M13" s="95">
        <v>1</v>
      </c>
      <c r="N13" s="95" t="s">
        <v>178</v>
      </c>
      <c r="O13" s="456" t="s">
        <v>180</v>
      </c>
      <c r="P13" s="95" t="s">
        <v>780</v>
      </c>
      <c r="Q13" s="95" t="s">
        <v>182</v>
      </c>
      <c r="R13" s="96" t="s">
        <v>860</v>
      </c>
      <c r="S13" s="95" t="s">
        <v>896</v>
      </c>
      <c r="T13" s="97" t="s">
        <v>1555</v>
      </c>
      <c r="U13" s="166">
        <f t="shared" si="1"/>
        <v>11</v>
      </c>
      <c r="V13" s="500" t="s">
        <v>248</v>
      </c>
      <c r="W13" s="95">
        <v>1</v>
      </c>
      <c r="X13" s="95" t="s">
        <v>178</v>
      </c>
      <c r="Y13" s="456" t="s">
        <v>180</v>
      </c>
      <c r="Z13" s="95" t="s">
        <v>780</v>
      </c>
      <c r="AA13" s="95" t="s">
        <v>174</v>
      </c>
      <c r="AB13" s="96" t="s">
        <v>858</v>
      </c>
      <c r="AC13" s="95" t="s">
        <v>888</v>
      </c>
      <c r="AD13" s="543" t="s">
        <v>1578</v>
      </c>
      <c r="AE13" s="95">
        <f t="shared" si="2"/>
        <v>11</v>
      </c>
      <c r="AF13" s="94" t="s">
        <v>2283</v>
      </c>
      <c r="AG13" s="95">
        <v>1</v>
      </c>
      <c r="AH13" s="95" t="s">
        <v>178</v>
      </c>
      <c r="AI13" s="457" t="s">
        <v>407</v>
      </c>
      <c r="AJ13" s="95" t="s">
        <v>780</v>
      </c>
      <c r="AK13" s="95" t="s">
        <v>480</v>
      </c>
      <c r="AL13" s="95" t="s">
        <v>1859</v>
      </c>
      <c r="AM13" s="95" t="s">
        <v>888</v>
      </c>
      <c r="AN13" s="97" t="s">
        <v>1603</v>
      </c>
    </row>
    <row r="14" spans="1:40" ht="12.75">
      <c r="A14" s="166">
        <f t="shared" si="3"/>
        <v>12</v>
      </c>
      <c r="B14" s="94" t="s">
        <v>244</v>
      </c>
      <c r="C14" s="95">
        <v>1</v>
      </c>
      <c r="D14" s="95" t="s">
        <v>178</v>
      </c>
      <c r="E14" s="456" t="s">
        <v>180</v>
      </c>
      <c r="F14" s="95" t="s">
        <v>780</v>
      </c>
      <c r="G14" s="95" t="s">
        <v>174</v>
      </c>
      <c r="H14" s="96" t="s">
        <v>245</v>
      </c>
      <c r="I14" s="95" t="s">
        <v>1137</v>
      </c>
      <c r="J14" s="97" t="s">
        <v>1527</v>
      </c>
      <c r="K14" s="166">
        <f t="shared" si="0"/>
        <v>12</v>
      </c>
      <c r="L14" s="94" t="s">
        <v>1872</v>
      </c>
      <c r="M14" s="95">
        <v>1</v>
      </c>
      <c r="N14" s="95" t="s">
        <v>178</v>
      </c>
      <c r="O14" s="457" t="s">
        <v>391</v>
      </c>
      <c r="P14" s="95" t="s">
        <v>780</v>
      </c>
      <c r="Q14" s="95" t="s">
        <v>174</v>
      </c>
      <c r="R14" s="95" t="s">
        <v>861</v>
      </c>
      <c r="S14" s="95" t="s">
        <v>1150</v>
      </c>
      <c r="T14" s="97" t="s">
        <v>1556</v>
      </c>
      <c r="U14" s="166">
        <f t="shared" si="1"/>
        <v>12</v>
      </c>
      <c r="V14" s="500" t="s">
        <v>254</v>
      </c>
      <c r="W14" s="95">
        <v>1</v>
      </c>
      <c r="X14" s="95" t="s">
        <v>178</v>
      </c>
      <c r="Y14" s="456" t="s">
        <v>180</v>
      </c>
      <c r="Z14" s="95" t="s">
        <v>780</v>
      </c>
      <c r="AA14" s="95" t="s">
        <v>205</v>
      </c>
      <c r="AB14" s="96" t="s">
        <v>860</v>
      </c>
      <c r="AC14" s="96" t="s">
        <v>896</v>
      </c>
      <c r="AD14" s="543" t="s">
        <v>1578</v>
      </c>
      <c r="AE14" s="95">
        <f t="shared" si="2"/>
        <v>12</v>
      </c>
      <c r="AF14" s="94" t="s">
        <v>249</v>
      </c>
      <c r="AG14" s="95">
        <v>1</v>
      </c>
      <c r="AH14" s="95">
        <v>1</v>
      </c>
      <c r="AI14" s="456" t="s">
        <v>176</v>
      </c>
      <c r="AJ14" s="95" t="s">
        <v>780</v>
      </c>
      <c r="AK14" s="95" t="s">
        <v>174</v>
      </c>
      <c r="AL14" s="96" t="s">
        <v>882</v>
      </c>
      <c r="AM14" s="95" t="s">
        <v>890</v>
      </c>
      <c r="AN14" s="97" t="s">
        <v>1606</v>
      </c>
    </row>
    <row r="15" spans="1:40" ht="12.75">
      <c r="A15" s="166">
        <f t="shared" si="3"/>
        <v>13</v>
      </c>
      <c r="B15" s="94" t="s">
        <v>2059</v>
      </c>
      <c r="C15" s="95">
        <v>2</v>
      </c>
      <c r="D15" s="95">
        <v>1</v>
      </c>
      <c r="E15" s="457" t="s">
        <v>313</v>
      </c>
      <c r="F15" s="95">
        <v>5</v>
      </c>
      <c r="G15" s="95" t="s">
        <v>174</v>
      </c>
      <c r="H15" s="95" t="s">
        <v>2060</v>
      </c>
      <c r="I15" s="95" t="s">
        <v>2061</v>
      </c>
      <c r="J15" s="97" t="s">
        <v>1525</v>
      </c>
      <c r="K15" s="166">
        <f t="shared" si="0"/>
        <v>13</v>
      </c>
      <c r="L15" s="94" t="s">
        <v>237</v>
      </c>
      <c r="M15" s="95">
        <v>1</v>
      </c>
      <c r="N15" s="95" t="s">
        <v>178</v>
      </c>
      <c r="O15" s="456" t="s">
        <v>180</v>
      </c>
      <c r="P15" s="95" t="s">
        <v>780</v>
      </c>
      <c r="Q15" s="95" t="s">
        <v>238</v>
      </c>
      <c r="R15" s="96" t="s">
        <v>239</v>
      </c>
      <c r="S15" s="95" t="s">
        <v>1144</v>
      </c>
      <c r="T15" s="97" t="s">
        <v>1557</v>
      </c>
      <c r="U15" s="166">
        <f t="shared" si="1"/>
        <v>13</v>
      </c>
      <c r="V15" s="500" t="s">
        <v>262</v>
      </c>
      <c r="W15" s="95">
        <v>2</v>
      </c>
      <c r="X15" s="95">
        <v>3</v>
      </c>
      <c r="Y15" s="456" t="s">
        <v>263</v>
      </c>
      <c r="Z15" s="95" t="s">
        <v>780</v>
      </c>
      <c r="AA15" s="95" t="s">
        <v>226</v>
      </c>
      <c r="AB15" s="95" t="s">
        <v>859</v>
      </c>
      <c r="AC15" s="96" t="s">
        <v>1156</v>
      </c>
      <c r="AD15" s="543" t="s">
        <v>1579</v>
      </c>
      <c r="AE15" s="95">
        <f t="shared" si="2"/>
        <v>13</v>
      </c>
      <c r="AF15" s="94" t="s">
        <v>1605</v>
      </c>
      <c r="AG15" s="95">
        <v>2</v>
      </c>
      <c r="AH15" s="95">
        <v>1</v>
      </c>
      <c r="AI15" s="456" t="s">
        <v>256</v>
      </c>
      <c r="AJ15" s="95" t="s">
        <v>780</v>
      </c>
      <c r="AK15" s="95" t="s">
        <v>205</v>
      </c>
      <c r="AL15" s="96" t="s">
        <v>255</v>
      </c>
      <c r="AM15" s="96" t="s">
        <v>891</v>
      </c>
      <c r="AN15" s="97" t="s">
        <v>1604</v>
      </c>
    </row>
    <row r="16" spans="1:40" ht="12.75">
      <c r="A16" s="166">
        <f t="shared" si="3"/>
        <v>14</v>
      </c>
      <c r="B16" s="94" t="s">
        <v>2062</v>
      </c>
      <c r="C16" s="95">
        <v>2</v>
      </c>
      <c r="D16" s="95">
        <v>1</v>
      </c>
      <c r="E16" s="457" t="s">
        <v>176</v>
      </c>
      <c r="F16" s="95" t="s">
        <v>780</v>
      </c>
      <c r="G16" s="95" t="s">
        <v>174</v>
      </c>
      <c r="H16" s="95" t="s">
        <v>859</v>
      </c>
      <c r="I16" s="95" t="s">
        <v>896</v>
      </c>
      <c r="J16" s="97" t="s">
        <v>1525</v>
      </c>
      <c r="K16" s="166">
        <f t="shared" si="0"/>
        <v>14</v>
      </c>
      <c r="L16" s="94" t="s">
        <v>1873</v>
      </c>
      <c r="M16" s="95">
        <v>2</v>
      </c>
      <c r="N16" s="95">
        <v>1</v>
      </c>
      <c r="O16" s="457" t="s">
        <v>1857</v>
      </c>
      <c r="P16" s="95" t="s">
        <v>780</v>
      </c>
      <c r="Q16" s="95" t="s">
        <v>182</v>
      </c>
      <c r="R16" s="95" t="s">
        <v>1858</v>
      </c>
      <c r="S16" s="95" t="s">
        <v>889</v>
      </c>
      <c r="T16" s="97" t="s">
        <v>1556</v>
      </c>
      <c r="U16" s="166">
        <f t="shared" si="1"/>
        <v>14</v>
      </c>
      <c r="V16" s="500" t="s">
        <v>2188</v>
      </c>
      <c r="W16" s="95">
        <v>2</v>
      </c>
      <c r="X16" s="95">
        <v>2</v>
      </c>
      <c r="Y16" s="457" t="s">
        <v>186</v>
      </c>
      <c r="Z16" s="95">
        <v>6</v>
      </c>
      <c r="AA16" s="95" t="s">
        <v>185</v>
      </c>
      <c r="AB16" s="95" t="s">
        <v>858</v>
      </c>
      <c r="AC16" s="95" t="s">
        <v>887</v>
      </c>
      <c r="AD16" s="543" t="s">
        <v>1528</v>
      </c>
      <c r="AE16" s="95">
        <f t="shared" si="2"/>
        <v>14</v>
      </c>
      <c r="AF16" s="94" t="s">
        <v>264</v>
      </c>
      <c r="AG16" s="95">
        <v>2</v>
      </c>
      <c r="AH16" s="95" t="s">
        <v>178</v>
      </c>
      <c r="AI16" s="456" t="s">
        <v>180</v>
      </c>
      <c r="AJ16" s="95" t="s">
        <v>780</v>
      </c>
      <c r="AK16" s="95" t="s">
        <v>265</v>
      </c>
      <c r="AL16" s="95" t="s">
        <v>266</v>
      </c>
      <c r="AM16" s="96" t="s">
        <v>892</v>
      </c>
      <c r="AN16" s="97" t="s">
        <v>1604</v>
      </c>
    </row>
    <row r="17" spans="1:40" ht="12.75">
      <c r="A17" s="166">
        <f t="shared" si="3"/>
        <v>15</v>
      </c>
      <c r="B17" s="94" t="s">
        <v>250</v>
      </c>
      <c r="C17" s="95">
        <v>2</v>
      </c>
      <c r="D17" s="95">
        <v>2</v>
      </c>
      <c r="E17" s="456" t="s">
        <v>252</v>
      </c>
      <c r="F17" s="95" t="s">
        <v>780</v>
      </c>
      <c r="G17" s="95" t="s">
        <v>174</v>
      </c>
      <c r="H17" s="96" t="s">
        <v>251</v>
      </c>
      <c r="I17" s="96" t="s">
        <v>891</v>
      </c>
      <c r="J17" s="97" t="s">
        <v>1527</v>
      </c>
      <c r="K17" s="166">
        <f t="shared" si="0"/>
        <v>15</v>
      </c>
      <c r="L17" s="94" t="s">
        <v>246</v>
      </c>
      <c r="M17" s="95">
        <v>2</v>
      </c>
      <c r="N17" s="95">
        <v>1</v>
      </c>
      <c r="O17" s="456" t="s">
        <v>176</v>
      </c>
      <c r="P17" s="95" t="s">
        <v>780</v>
      </c>
      <c r="Q17" s="95" t="s">
        <v>247</v>
      </c>
      <c r="R17" s="96" t="s">
        <v>859</v>
      </c>
      <c r="S17" s="95" t="s">
        <v>895</v>
      </c>
      <c r="T17" s="97" t="s">
        <v>1557</v>
      </c>
      <c r="U17" s="166">
        <f t="shared" si="1"/>
        <v>15</v>
      </c>
      <c r="V17" s="500" t="s">
        <v>271</v>
      </c>
      <c r="W17" s="95">
        <v>2</v>
      </c>
      <c r="X17" s="95">
        <v>1</v>
      </c>
      <c r="Y17" s="456" t="s">
        <v>195</v>
      </c>
      <c r="Z17" s="95" t="s">
        <v>780</v>
      </c>
      <c r="AA17" s="95" t="s">
        <v>174</v>
      </c>
      <c r="AB17" s="96" t="s">
        <v>272</v>
      </c>
      <c r="AC17" s="95" t="s">
        <v>1157</v>
      </c>
      <c r="AD17" s="543" t="s">
        <v>1579</v>
      </c>
      <c r="AE17" s="95">
        <f t="shared" si="2"/>
        <v>15</v>
      </c>
      <c r="AF17" s="94" t="s">
        <v>273</v>
      </c>
      <c r="AG17" s="95">
        <v>2</v>
      </c>
      <c r="AH17" s="95">
        <v>2</v>
      </c>
      <c r="AI17" s="456" t="s">
        <v>203</v>
      </c>
      <c r="AJ17" s="95" t="s">
        <v>780</v>
      </c>
      <c r="AK17" s="95" t="s">
        <v>174</v>
      </c>
      <c r="AL17" s="96" t="s">
        <v>860</v>
      </c>
      <c r="AM17" s="95" t="s">
        <v>893</v>
      </c>
      <c r="AN17" s="97" t="s">
        <v>1604</v>
      </c>
    </row>
    <row r="18" spans="1:40" ht="12.75">
      <c r="A18" s="166">
        <f t="shared" si="3"/>
        <v>16</v>
      </c>
      <c r="B18" s="94" t="s">
        <v>2080</v>
      </c>
      <c r="C18" s="95">
        <v>2</v>
      </c>
      <c r="D18" s="95">
        <v>2</v>
      </c>
      <c r="E18" s="457" t="s">
        <v>186</v>
      </c>
      <c r="F18" s="95">
        <v>6</v>
      </c>
      <c r="G18" s="95" t="s">
        <v>185</v>
      </c>
      <c r="H18" s="95" t="s">
        <v>858</v>
      </c>
      <c r="I18" s="95" t="s">
        <v>887</v>
      </c>
      <c r="J18" s="97" t="s">
        <v>1528</v>
      </c>
      <c r="K18" s="166">
        <f t="shared" si="0"/>
        <v>16</v>
      </c>
      <c r="L18" s="94" t="s">
        <v>1874</v>
      </c>
      <c r="M18" s="95">
        <v>2</v>
      </c>
      <c r="N18" s="95">
        <v>1</v>
      </c>
      <c r="O18" s="457" t="s">
        <v>381</v>
      </c>
      <c r="P18" s="95" t="s">
        <v>780</v>
      </c>
      <c r="Q18" s="95" t="s">
        <v>205</v>
      </c>
      <c r="R18" s="95" t="s">
        <v>858</v>
      </c>
      <c r="S18" s="95" t="s">
        <v>894</v>
      </c>
      <c r="T18" s="97" t="s">
        <v>1558</v>
      </c>
      <c r="U18" s="166">
        <f t="shared" si="1"/>
        <v>16</v>
      </c>
      <c r="V18" s="500" t="s">
        <v>277</v>
      </c>
      <c r="W18" s="95">
        <v>2</v>
      </c>
      <c r="X18" s="95">
        <v>2</v>
      </c>
      <c r="Y18" s="456" t="s">
        <v>192</v>
      </c>
      <c r="Z18" s="95" t="s">
        <v>780</v>
      </c>
      <c r="AA18" s="95" t="s">
        <v>182</v>
      </c>
      <c r="AB18" s="95" t="s">
        <v>278</v>
      </c>
      <c r="AC18" s="95" t="s">
        <v>896</v>
      </c>
      <c r="AD18" s="543" t="s">
        <v>1579</v>
      </c>
      <c r="AE18" s="95">
        <f t="shared" si="2"/>
        <v>16</v>
      </c>
      <c r="AF18" s="94" t="s">
        <v>279</v>
      </c>
      <c r="AG18" s="95">
        <v>2</v>
      </c>
      <c r="AH18" s="95" t="s">
        <v>178</v>
      </c>
      <c r="AI18" s="456" t="s">
        <v>276</v>
      </c>
      <c r="AJ18" s="95" t="s">
        <v>780</v>
      </c>
      <c r="AK18" s="95" t="s">
        <v>220</v>
      </c>
      <c r="AL18" s="95" t="s">
        <v>280</v>
      </c>
      <c r="AM18" s="95" t="s">
        <v>894</v>
      </c>
      <c r="AN18" s="97" t="s">
        <v>1604</v>
      </c>
    </row>
    <row r="19" spans="1:40" ht="12.75">
      <c r="A19" s="166">
        <f t="shared" si="3"/>
        <v>17</v>
      </c>
      <c r="B19" s="94" t="s">
        <v>1532</v>
      </c>
      <c r="C19" s="95">
        <v>2</v>
      </c>
      <c r="D19" s="95" t="s">
        <v>178</v>
      </c>
      <c r="E19" s="457" t="s">
        <v>228</v>
      </c>
      <c r="F19" s="95" t="s">
        <v>780</v>
      </c>
      <c r="G19" s="95" t="s">
        <v>197</v>
      </c>
      <c r="H19" s="95" t="s">
        <v>858</v>
      </c>
      <c r="I19" s="95" t="s">
        <v>888</v>
      </c>
      <c r="J19" s="97" t="s">
        <v>1529</v>
      </c>
      <c r="K19" s="166">
        <f t="shared" si="0"/>
        <v>17</v>
      </c>
      <c r="L19" s="94" t="s">
        <v>1875</v>
      </c>
      <c r="M19" s="95">
        <v>2</v>
      </c>
      <c r="N19" s="95" t="s">
        <v>178</v>
      </c>
      <c r="O19" s="457" t="s">
        <v>228</v>
      </c>
      <c r="P19" s="95" t="s">
        <v>780</v>
      </c>
      <c r="Q19" s="95" t="s">
        <v>224</v>
      </c>
      <c r="R19" s="95" t="s">
        <v>860</v>
      </c>
      <c r="S19" s="95" t="s">
        <v>1142</v>
      </c>
      <c r="T19" s="97" t="s">
        <v>1558</v>
      </c>
      <c r="U19" s="166">
        <f t="shared" si="1"/>
        <v>17</v>
      </c>
      <c r="V19" s="500" t="s">
        <v>2183</v>
      </c>
      <c r="W19" s="95">
        <v>2</v>
      </c>
      <c r="X19" s="95">
        <v>1</v>
      </c>
      <c r="Y19" s="457" t="s">
        <v>176</v>
      </c>
      <c r="Z19" s="96">
        <v>4</v>
      </c>
      <c r="AA19" s="95" t="s">
        <v>197</v>
      </c>
      <c r="AB19" s="96" t="s">
        <v>2184</v>
      </c>
      <c r="AC19" s="95" t="s">
        <v>1150</v>
      </c>
      <c r="AD19" s="543" t="s">
        <v>1576</v>
      </c>
      <c r="AE19" s="95">
        <f t="shared" si="2"/>
        <v>17</v>
      </c>
      <c r="AF19" s="94" t="s">
        <v>285</v>
      </c>
      <c r="AG19" s="95">
        <v>2</v>
      </c>
      <c r="AH19" s="95">
        <v>2</v>
      </c>
      <c r="AI19" s="456" t="s">
        <v>176</v>
      </c>
      <c r="AJ19" s="95" t="s">
        <v>780</v>
      </c>
      <c r="AK19" s="95" t="s">
        <v>286</v>
      </c>
      <c r="AL19" s="95" t="s">
        <v>287</v>
      </c>
      <c r="AM19" s="95" t="s">
        <v>895</v>
      </c>
      <c r="AN19" s="97" t="s">
        <v>1604</v>
      </c>
    </row>
    <row r="20" spans="1:40" ht="12.75">
      <c r="A20" s="166">
        <f t="shared" si="3"/>
        <v>18</v>
      </c>
      <c r="B20" s="94" t="s">
        <v>257</v>
      </c>
      <c r="C20" s="95">
        <v>2</v>
      </c>
      <c r="D20" s="95">
        <v>2</v>
      </c>
      <c r="E20" s="456" t="s">
        <v>259</v>
      </c>
      <c r="F20" s="95" t="s">
        <v>780</v>
      </c>
      <c r="G20" s="95" t="s">
        <v>174</v>
      </c>
      <c r="H20" s="95" t="s">
        <v>258</v>
      </c>
      <c r="I20" s="96" t="s">
        <v>887</v>
      </c>
      <c r="J20" s="97" t="s">
        <v>1527</v>
      </c>
      <c r="K20" s="166">
        <f t="shared" si="0"/>
        <v>18</v>
      </c>
      <c r="L20" s="94" t="s">
        <v>253</v>
      </c>
      <c r="M20" s="95">
        <v>2</v>
      </c>
      <c r="N20" s="95" t="s">
        <v>178</v>
      </c>
      <c r="O20" s="456" t="s">
        <v>242</v>
      </c>
      <c r="P20" s="95" t="s">
        <v>780</v>
      </c>
      <c r="Q20" s="95" t="s">
        <v>185</v>
      </c>
      <c r="R20" s="96" t="s">
        <v>864</v>
      </c>
      <c r="S20" s="96" t="s">
        <v>888</v>
      </c>
      <c r="T20" s="97" t="s">
        <v>1557</v>
      </c>
      <c r="U20" s="166">
        <f t="shared" si="1"/>
        <v>18</v>
      </c>
      <c r="V20" s="500" t="s">
        <v>284</v>
      </c>
      <c r="W20" s="95">
        <v>2</v>
      </c>
      <c r="X20" s="95">
        <v>2</v>
      </c>
      <c r="Y20" s="456" t="s">
        <v>192</v>
      </c>
      <c r="Z20" s="95" t="s">
        <v>780</v>
      </c>
      <c r="AA20" s="95" t="s">
        <v>174</v>
      </c>
      <c r="AB20" s="95" t="s">
        <v>859</v>
      </c>
      <c r="AC20" s="95" t="s">
        <v>891</v>
      </c>
      <c r="AD20" s="543" t="s">
        <v>1579</v>
      </c>
      <c r="AE20" s="95">
        <f t="shared" si="2"/>
        <v>18</v>
      </c>
      <c r="AF20" s="94" t="s">
        <v>2284</v>
      </c>
      <c r="AG20" s="95">
        <v>2</v>
      </c>
      <c r="AH20" s="95">
        <v>1</v>
      </c>
      <c r="AI20" s="457" t="s">
        <v>2186</v>
      </c>
      <c r="AJ20" s="96">
        <v>4</v>
      </c>
      <c r="AK20" s="95" t="s">
        <v>224</v>
      </c>
      <c r="AL20" s="95" t="s">
        <v>858</v>
      </c>
      <c r="AM20" s="95" t="s">
        <v>1140</v>
      </c>
      <c r="AN20" s="97" t="s">
        <v>1603</v>
      </c>
    </row>
    <row r="21" spans="1:40" ht="12.75">
      <c r="A21" s="166">
        <f t="shared" si="3"/>
        <v>19</v>
      </c>
      <c r="B21" s="94" t="s">
        <v>2065</v>
      </c>
      <c r="C21" s="95">
        <v>2</v>
      </c>
      <c r="D21" s="95" t="s">
        <v>178</v>
      </c>
      <c r="E21" s="457" t="s">
        <v>2063</v>
      </c>
      <c r="F21" s="95" t="s">
        <v>780</v>
      </c>
      <c r="G21" s="95" t="s">
        <v>182</v>
      </c>
      <c r="H21" s="95" t="s">
        <v>859</v>
      </c>
      <c r="I21" s="95" t="s">
        <v>891</v>
      </c>
      <c r="J21" s="97" t="s">
        <v>1530</v>
      </c>
      <c r="K21" s="166">
        <f t="shared" si="0"/>
        <v>19</v>
      </c>
      <c r="L21" s="94" t="s">
        <v>1876</v>
      </c>
      <c r="M21" s="95">
        <v>2</v>
      </c>
      <c r="N21" s="95">
        <v>2</v>
      </c>
      <c r="O21" s="457" t="s">
        <v>176</v>
      </c>
      <c r="P21" s="95">
        <v>4</v>
      </c>
      <c r="Q21" s="95" t="s">
        <v>174</v>
      </c>
      <c r="R21" s="95" t="s">
        <v>860</v>
      </c>
      <c r="S21" s="95" t="s">
        <v>1138</v>
      </c>
      <c r="T21" s="97" t="s">
        <v>1558</v>
      </c>
      <c r="U21" s="166">
        <f t="shared" si="1"/>
        <v>19</v>
      </c>
      <c r="V21" s="500" t="s">
        <v>293</v>
      </c>
      <c r="W21" s="95">
        <v>2</v>
      </c>
      <c r="X21" s="95">
        <v>3</v>
      </c>
      <c r="Y21" s="456" t="s">
        <v>252</v>
      </c>
      <c r="Z21" s="95" t="s">
        <v>780</v>
      </c>
      <c r="AA21" s="95" t="s">
        <v>220</v>
      </c>
      <c r="AB21" s="96" t="s">
        <v>294</v>
      </c>
      <c r="AC21" s="95" t="s">
        <v>1138</v>
      </c>
      <c r="AD21" s="543" t="s">
        <v>1580</v>
      </c>
      <c r="AE21" s="95">
        <f t="shared" si="2"/>
        <v>19</v>
      </c>
      <c r="AF21" s="94" t="s">
        <v>295</v>
      </c>
      <c r="AG21" s="95">
        <v>2</v>
      </c>
      <c r="AH21" s="95">
        <v>1</v>
      </c>
      <c r="AI21" s="456" t="s">
        <v>192</v>
      </c>
      <c r="AJ21" s="95" t="s">
        <v>780</v>
      </c>
      <c r="AK21" s="95" t="s">
        <v>296</v>
      </c>
      <c r="AL21" s="96" t="s">
        <v>860</v>
      </c>
      <c r="AM21" s="95" t="s">
        <v>896</v>
      </c>
      <c r="AN21" s="97" t="s">
        <v>1604</v>
      </c>
    </row>
    <row r="22" spans="1:40" ht="12.75">
      <c r="A22" s="166">
        <f t="shared" si="3"/>
        <v>20</v>
      </c>
      <c r="B22" s="94" t="s">
        <v>267</v>
      </c>
      <c r="C22" s="95">
        <v>2</v>
      </c>
      <c r="D22" s="95">
        <v>1</v>
      </c>
      <c r="E22" s="456" t="s">
        <v>201</v>
      </c>
      <c r="F22" s="95" t="s">
        <v>780</v>
      </c>
      <c r="G22" s="95" t="s">
        <v>194</v>
      </c>
      <c r="H22" s="96" t="s">
        <v>863</v>
      </c>
      <c r="I22" s="95" t="s">
        <v>888</v>
      </c>
      <c r="J22" s="97" t="s">
        <v>1527</v>
      </c>
      <c r="K22" s="166">
        <f t="shared" si="0"/>
        <v>20</v>
      </c>
      <c r="L22" s="94" t="s">
        <v>260</v>
      </c>
      <c r="M22" s="95">
        <v>2</v>
      </c>
      <c r="N22" s="95">
        <v>1</v>
      </c>
      <c r="O22" s="456" t="s">
        <v>176</v>
      </c>
      <c r="P22" s="95" t="s">
        <v>780</v>
      </c>
      <c r="Q22" s="95" t="s">
        <v>174</v>
      </c>
      <c r="R22" s="95" t="s">
        <v>261</v>
      </c>
      <c r="S22" s="96" t="s">
        <v>1135</v>
      </c>
      <c r="T22" s="97" t="s">
        <v>1557</v>
      </c>
      <c r="U22" s="166">
        <f t="shared" si="1"/>
        <v>20</v>
      </c>
      <c r="V22" s="500" t="s">
        <v>300</v>
      </c>
      <c r="W22" s="95">
        <v>2</v>
      </c>
      <c r="X22" s="95">
        <v>2</v>
      </c>
      <c r="Y22" s="456" t="s">
        <v>2452</v>
      </c>
      <c r="Z22" s="95" t="s">
        <v>780</v>
      </c>
      <c r="AA22" s="95" t="s">
        <v>226</v>
      </c>
      <c r="AB22" s="95" t="s">
        <v>858</v>
      </c>
      <c r="AC22" s="95" t="s">
        <v>1128</v>
      </c>
      <c r="AD22" s="543" t="s">
        <v>1580</v>
      </c>
      <c r="AE22" s="95">
        <f t="shared" si="2"/>
        <v>20</v>
      </c>
      <c r="AF22" s="94" t="s">
        <v>301</v>
      </c>
      <c r="AG22" s="95">
        <v>2</v>
      </c>
      <c r="AH22" s="95">
        <v>4</v>
      </c>
      <c r="AI22" s="456" t="s">
        <v>192</v>
      </c>
      <c r="AJ22" s="95" t="s">
        <v>780</v>
      </c>
      <c r="AK22" s="95" t="s">
        <v>174</v>
      </c>
      <c r="AL22" s="95" t="s">
        <v>302</v>
      </c>
      <c r="AM22" s="95" t="s">
        <v>1124</v>
      </c>
      <c r="AN22" s="97" t="s">
        <v>1604</v>
      </c>
    </row>
    <row r="23" spans="1:40" ht="12.75">
      <c r="A23" s="166">
        <f t="shared" si="3"/>
        <v>21</v>
      </c>
      <c r="B23" s="94" t="s">
        <v>274</v>
      </c>
      <c r="C23" s="95">
        <v>2</v>
      </c>
      <c r="D23" s="95" t="s">
        <v>178</v>
      </c>
      <c r="E23" s="456" t="s">
        <v>276</v>
      </c>
      <c r="F23" s="95" t="s">
        <v>780</v>
      </c>
      <c r="G23" s="95" t="s">
        <v>174</v>
      </c>
      <c r="H23" s="95" t="s">
        <v>275</v>
      </c>
      <c r="I23" s="95" t="s">
        <v>891</v>
      </c>
      <c r="J23" s="97" t="s">
        <v>1527</v>
      </c>
      <c r="K23" s="166">
        <f t="shared" si="0"/>
        <v>21</v>
      </c>
      <c r="L23" s="94" t="s">
        <v>268</v>
      </c>
      <c r="M23" s="95">
        <v>2</v>
      </c>
      <c r="N23" s="95">
        <v>2</v>
      </c>
      <c r="O23" s="456" t="s">
        <v>270</v>
      </c>
      <c r="P23" s="95" t="s">
        <v>780</v>
      </c>
      <c r="Q23" s="95" t="s">
        <v>265</v>
      </c>
      <c r="R23" s="96" t="s">
        <v>269</v>
      </c>
      <c r="S23" s="95" t="s">
        <v>1162</v>
      </c>
      <c r="T23" s="97" t="s">
        <v>1557</v>
      </c>
      <c r="U23" s="166">
        <f t="shared" si="1"/>
        <v>21</v>
      </c>
      <c r="V23" s="500" t="s">
        <v>2185</v>
      </c>
      <c r="W23" s="95">
        <v>2</v>
      </c>
      <c r="X23" s="95">
        <v>1</v>
      </c>
      <c r="Y23" s="457" t="s">
        <v>2186</v>
      </c>
      <c r="Z23" s="96">
        <v>4</v>
      </c>
      <c r="AA23" s="95" t="s">
        <v>323</v>
      </c>
      <c r="AB23" s="95" t="s">
        <v>858</v>
      </c>
      <c r="AC23" s="95" t="s">
        <v>891</v>
      </c>
      <c r="AD23" s="543" t="s">
        <v>1576</v>
      </c>
      <c r="AE23" s="95">
        <f t="shared" si="2"/>
        <v>21</v>
      </c>
      <c r="AF23" s="94" t="s">
        <v>2285</v>
      </c>
      <c r="AG23" s="95">
        <v>3</v>
      </c>
      <c r="AH23" s="95">
        <v>1</v>
      </c>
      <c r="AI23" s="457" t="s">
        <v>2195</v>
      </c>
      <c r="AJ23" s="95" t="s">
        <v>780</v>
      </c>
      <c r="AK23" s="95" t="s">
        <v>238</v>
      </c>
      <c r="AL23" s="95" t="s">
        <v>862</v>
      </c>
      <c r="AM23" s="95" t="s">
        <v>888</v>
      </c>
      <c r="AN23" s="97" t="s">
        <v>1603</v>
      </c>
    </row>
    <row r="24" spans="1:40" ht="12.75">
      <c r="A24" s="166">
        <f t="shared" si="3"/>
        <v>22</v>
      </c>
      <c r="B24" s="94" t="s">
        <v>281</v>
      </c>
      <c r="C24" s="95">
        <v>2</v>
      </c>
      <c r="D24" s="95">
        <v>2</v>
      </c>
      <c r="E24" s="456" t="s">
        <v>201</v>
      </c>
      <c r="F24" s="95" t="s">
        <v>780</v>
      </c>
      <c r="G24" s="95" t="s">
        <v>185</v>
      </c>
      <c r="H24" s="95" t="s">
        <v>282</v>
      </c>
      <c r="I24" s="95" t="s">
        <v>1146</v>
      </c>
      <c r="J24" s="97" t="s">
        <v>1531</v>
      </c>
      <c r="K24" s="166">
        <f t="shared" si="0"/>
        <v>22</v>
      </c>
      <c r="L24" s="94" t="s">
        <v>1877</v>
      </c>
      <c r="M24" s="95">
        <v>2</v>
      </c>
      <c r="N24" s="95">
        <v>1</v>
      </c>
      <c r="O24" s="457" t="s">
        <v>176</v>
      </c>
      <c r="P24" s="95" t="s">
        <v>780</v>
      </c>
      <c r="Q24" s="95" t="s">
        <v>174</v>
      </c>
      <c r="R24" s="95" t="s">
        <v>1878</v>
      </c>
      <c r="S24" s="95" t="s">
        <v>889</v>
      </c>
      <c r="T24" s="97" t="s">
        <v>1558</v>
      </c>
      <c r="U24" s="166">
        <f t="shared" si="1"/>
        <v>22</v>
      </c>
      <c r="V24" s="500" t="s">
        <v>305</v>
      </c>
      <c r="W24" s="95">
        <v>2</v>
      </c>
      <c r="X24" s="95">
        <v>1</v>
      </c>
      <c r="Y24" s="456" t="s">
        <v>2452</v>
      </c>
      <c r="Z24" s="95" t="s">
        <v>780</v>
      </c>
      <c r="AA24" s="95" t="s">
        <v>220</v>
      </c>
      <c r="AB24" s="95" t="s">
        <v>858</v>
      </c>
      <c r="AC24" s="95" t="s">
        <v>896</v>
      </c>
      <c r="AD24" s="543" t="s">
        <v>1580</v>
      </c>
      <c r="AE24" s="95">
        <f t="shared" si="2"/>
        <v>22</v>
      </c>
      <c r="AF24" s="94" t="s">
        <v>2286</v>
      </c>
      <c r="AG24" s="95">
        <v>3</v>
      </c>
      <c r="AH24" s="95">
        <v>1</v>
      </c>
      <c r="AI24" s="457" t="s">
        <v>2195</v>
      </c>
      <c r="AJ24" s="95" t="s">
        <v>780</v>
      </c>
      <c r="AK24" s="95" t="s">
        <v>174</v>
      </c>
      <c r="AL24" s="96" t="s">
        <v>2287</v>
      </c>
      <c r="AM24" s="95" t="s">
        <v>1133</v>
      </c>
      <c r="AN24" s="97" t="s">
        <v>1603</v>
      </c>
    </row>
    <row r="25" spans="1:40" ht="12.75">
      <c r="A25" s="166">
        <f t="shared" si="3"/>
        <v>23</v>
      </c>
      <c r="B25" s="94" t="s">
        <v>2064</v>
      </c>
      <c r="C25" s="95">
        <v>2</v>
      </c>
      <c r="D25" s="95">
        <v>1</v>
      </c>
      <c r="E25" s="457" t="s">
        <v>176</v>
      </c>
      <c r="F25" s="95" t="s">
        <v>780</v>
      </c>
      <c r="G25" s="95" t="s">
        <v>174</v>
      </c>
      <c r="H25" s="96" t="s">
        <v>2066</v>
      </c>
      <c r="I25" s="95" t="s">
        <v>895</v>
      </c>
      <c r="J25" s="97" t="s">
        <v>1530</v>
      </c>
      <c r="K25" s="166">
        <f t="shared" si="0"/>
        <v>23</v>
      </c>
      <c r="L25" s="94" t="s">
        <v>1879</v>
      </c>
      <c r="M25" s="95">
        <v>2</v>
      </c>
      <c r="N25" s="95">
        <v>2</v>
      </c>
      <c r="O25" s="456" t="s">
        <v>232</v>
      </c>
      <c r="P25" s="95" t="s">
        <v>780</v>
      </c>
      <c r="Q25" s="95" t="s">
        <v>174</v>
      </c>
      <c r="R25" s="95" t="s">
        <v>860</v>
      </c>
      <c r="S25" s="95" t="s">
        <v>1745</v>
      </c>
      <c r="T25" s="97" t="s">
        <v>1559</v>
      </c>
      <c r="U25" s="166">
        <f t="shared" si="1"/>
        <v>23</v>
      </c>
      <c r="V25" s="500" t="s">
        <v>2189</v>
      </c>
      <c r="W25" s="95">
        <v>3</v>
      </c>
      <c r="X25" s="95">
        <v>1</v>
      </c>
      <c r="Y25" s="457" t="s">
        <v>183</v>
      </c>
      <c r="Z25" s="95">
        <v>6</v>
      </c>
      <c r="AA25" s="95" t="s">
        <v>174</v>
      </c>
      <c r="AB25" s="96" t="s">
        <v>2190</v>
      </c>
      <c r="AC25" s="95" t="s">
        <v>888</v>
      </c>
      <c r="AD25" s="543" t="s">
        <v>1576</v>
      </c>
      <c r="AE25" s="95">
        <f t="shared" si="2"/>
        <v>23</v>
      </c>
      <c r="AF25" s="94" t="s">
        <v>306</v>
      </c>
      <c r="AG25" s="95">
        <v>3</v>
      </c>
      <c r="AH25" s="95">
        <v>1</v>
      </c>
      <c r="AI25" s="456" t="s">
        <v>308</v>
      </c>
      <c r="AJ25" s="95" t="s">
        <v>780</v>
      </c>
      <c r="AK25" s="95" t="s">
        <v>174</v>
      </c>
      <c r="AL25" s="95" t="s">
        <v>307</v>
      </c>
      <c r="AM25" s="95" t="s">
        <v>892</v>
      </c>
      <c r="AN25" s="97" t="s">
        <v>1604</v>
      </c>
    </row>
    <row r="26" spans="1:40" ht="12.75">
      <c r="A26" s="166">
        <f t="shared" si="3"/>
        <v>24</v>
      </c>
      <c r="B26" s="94" t="s">
        <v>288</v>
      </c>
      <c r="C26" s="95">
        <v>2</v>
      </c>
      <c r="D26" s="95">
        <v>1</v>
      </c>
      <c r="E26" s="456" t="s">
        <v>290</v>
      </c>
      <c r="F26" s="95" t="s">
        <v>780</v>
      </c>
      <c r="G26" s="95" t="s">
        <v>185</v>
      </c>
      <c r="H26" s="96" t="s">
        <v>289</v>
      </c>
      <c r="I26" s="95" t="s">
        <v>1133</v>
      </c>
      <c r="J26" s="97" t="s">
        <v>1531</v>
      </c>
      <c r="K26" s="166">
        <f t="shared" si="0"/>
        <v>24</v>
      </c>
      <c r="L26" s="94" t="s">
        <v>283</v>
      </c>
      <c r="M26" s="95">
        <v>2</v>
      </c>
      <c r="N26" s="95" t="s">
        <v>178</v>
      </c>
      <c r="O26" s="456" t="s">
        <v>276</v>
      </c>
      <c r="P26" s="95" t="s">
        <v>780</v>
      </c>
      <c r="Q26" s="95" t="s">
        <v>185</v>
      </c>
      <c r="R26" s="95" t="s">
        <v>863</v>
      </c>
      <c r="S26" s="95" t="s">
        <v>888</v>
      </c>
      <c r="T26" s="97" t="s">
        <v>1559</v>
      </c>
      <c r="U26" s="166">
        <f t="shared" si="1"/>
        <v>24</v>
      </c>
      <c r="V26" s="500" t="s">
        <v>2191</v>
      </c>
      <c r="W26" s="95">
        <v>3</v>
      </c>
      <c r="X26" s="95">
        <v>2</v>
      </c>
      <c r="Y26" s="457" t="s">
        <v>186</v>
      </c>
      <c r="Z26" s="95">
        <v>6</v>
      </c>
      <c r="AA26" s="95" t="s">
        <v>185</v>
      </c>
      <c r="AB26" s="95" t="s">
        <v>858</v>
      </c>
      <c r="AC26" s="95" t="s">
        <v>887</v>
      </c>
      <c r="AD26" s="543" t="s">
        <v>1528</v>
      </c>
      <c r="AE26" s="95">
        <f t="shared" si="2"/>
        <v>24</v>
      </c>
      <c r="AF26" s="94" t="s">
        <v>2288</v>
      </c>
      <c r="AG26" s="95">
        <v>3</v>
      </c>
      <c r="AH26" s="95">
        <v>2</v>
      </c>
      <c r="AI26" s="457" t="s">
        <v>2195</v>
      </c>
      <c r="AJ26" s="95" t="s">
        <v>780</v>
      </c>
      <c r="AK26" s="95" t="s">
        <v>174</v>
      </c>
      <c r="AL26" s="95" t="s">
        <v>858</v>
      </c>
      <c r="AM26" s="95" t="s">
        <v>891</v>
      </c>
      <c r="AN26" s="97" t="s">
        <v>1607</v>
      </c>
    </row>
    <row r="27" spans="1:40" ht="12.75">
      <c r="A27" s="166">
        <f t="shared" si="3"/>
        <v>25</v>
      </c>
      <c r="B27" s="94" t="s">
        <v>2068</v>
      </c>
      <c r="C27" s="95">
        <v>2</v>
      </c>
      <c r="D27" s="95">
        <v>1</v>
      </c>
      <c r="E27" s="457" t="s">
        <v>176</v>
      </c>
      <c r="F27" s="95" t="s">
        <v>780</v>
      </c>
      <c r="G27" s="95" t="s">
        <v>182</v>
      </c>
      <c r="H27" s="95" t="s">
        <v>2067</v>
      </c>
      <c r="I27" s="95" t="s">
        <v>896</v>
      </c>
      <c r="J27" s="97" t="s">
        <v>1530</v>
      </c>
      <c r="K27" s="166">
        <f t="shared" si="0"/>
        <v>25</v>
      </c>
      <c r="L27" s="94" t="s">
        <v>291</v>
      </c>
      <c r="M27" s="95">
        <v>2</v>
      </c>
      <c r="N27" s="95">
        <v>1</v>
      </c>
      <c r="O27" s="456" t="s">
        <v>292</v>
      </c>
      <c r="P27" s="95" t="s">
        <v>780</v>
      </c>
      <c r="Q27" s="95" t="s">
        <v>174</v>
      </c>
      <c r="R27" s="96" t="s">
        <v>863</v>
      </c>
      <c r="S27" s="95" t="s">
        <v>1745</v>
      </c>
      <c r="T27" s="97" t="s">
        <v>1559</v>
      </c>
      <c r="U27" s="166">
        <f t="shared" si="1"/>
        <v>25</v>
      </c>
      <c r="V27" s="500" t="s">
        <v>2192</v>
      </c>
      <c r="W27" s="95">
        <v>3</v>
      </c>
      <c r="X27" s="95">
        <v>1</v>
      </c>
      <c r="Y27" s="457" t="s">
        <v>183</v>
      </c>
      <c r="Z27" s="95" t="s">
        <v>780</v>
      </c>
      <c r="AA27" s="95" t="s">
        <v>174</v>
      </c>
      <c r="AB27" s="95" t="s">
        <v>2193</v>
      </c>
      <c r="AC27" s="95" t="s">
        <v>1142</v>
      </c>
      <c r="AD27" s="543" t="s">
        <v>1576</v>
      </c>
      <c r="AE27" s="95">
        <f t="shared" si="2"/>
        <v>25</v>
      </c>
      <c r="AF27" s="94" t="s">
        <v>2289</v>
      </c>
      <c r="AG27" s="95">
        <v>3</v>
      </c>
      <c r="AH27" s="95">
        <v>2</v>
      </c>
      <c r="AI27" s="457" t="s">
        <v>2195</v>
      </c>
      <c r="AJ27" s="95" t="s">
        <v>780</v>
      </c>
      <c r="AK27" s="95" t="s">
        <v>174</v>
      </c>
      <c r="AL27" s="95" t="s">
        <v>2290</v>
      </c>
      <c r="AM27" s="95" t="s">
        <v>2291</v>
      </c>
      <c r="AN27" s="97" t="s">
        <v>1607</v>
      </c>
    </row>
    <row r="28" spans="1:40" ht="12.75">
      <c r="A28" s="166">
        <f t="shared" si="3"/>
        <v>26</v>
      </c>
      <c r="B28" s="94" t="s">
        <v>297</v>
      </c>
      <c r="C28" s="95">
        <v>2</v>
      </c>
      <c r="D28" s="95">
        <v>1</v>
      </c>
      <c r="E28" s="456" t="s">
        <v>189</v>
      </c>
      <c r="F28" s="95" t="s">
        <v>780</v>
      </c>
      <c r="G28" s="95" t="s">
        <v>205</v>
      </c>
      <c r="H28" s="95" t="s">
        <v>864</v>
      </c>
      <c r="I28" s="95" t="s">
        <v>888</v>
      </c>
      <c r="J28" s="97" t="s">
        <v>1531</v>
      </c>
      <c r="K28" s="166">
        <f t="shared" si="0"/>
        <v>26</v>
      </c>
      <c r="L28" s="94" t="s">
        <v>1881</v>
      </c>
      <c r="M28" s="95">
        <v>2</v>
      </c>
      <c r="N28" s="95">
        <v>1</v>
      </c>
      <c r="O28" s="457" t="s">
        <v>176</v>
      </c>
      <c r="P28" s="95">
        <v>6</v>
      </c>
      <c r="Q28" s="95" t="s">
        <v>220</v>
      </c>
      <c r="R28" s="96" t="s">
        <v>1880</v>
      </c>
      <c r="S28" s="95" t="s">
        <v>1137</v>
      </c>
      <c r="T28" s="97" t="s">
        <v>1558</v>
      </c>
      <c r="U28" s="166">
        <f t="shared" si="1"/>
        <v>26</v>
      </c>
      <c r="V28" s="500" t="s">
        <v>2194</v>
      </c>
      <c r="W28" s="95">
        <v>3</v>
      </c>
      <c r="X28" s="95">
        <v>2</v>
      </c>
      <c r="Y28" s="457" t="s">
        <v>2195</v>
      </c>
      <c r="Z28" s="95" t="s">
        <v>780</v>
      </c>
      <c r="AA28" s="95" t="s">
        <v>174</v>
      </c>
      <c r="AB28" s="95" t="s">
        <v>2196</v>
      </c>
      <c r="AC28" s="95" t="s">
        <v>1127</v>
      </c>
      <c r="AD28" s="543" t="s">
        <v>1581</v>
      </c>
      <c r="AE28" s="95">
        <f t="shared" si="2"/>
        <v>26</v>
      </c>
      <c r="AF28" s="94" t="s">
        <v>2292</v>
      </c>
      <c r="AG28" s="95">
        <v>3</v>
      </c>
      <c r="AH28" s="95" t="s">
        <v>178</v>
      </c>
      <c r="AI28" s="457" t="s">
        <v>2293</v>
      </c>
      <c r="AJ28" s="95" t="s">
        <v>1859</v>
      </c>
      <c r="AK28" s="95" t="s">
        <v>185</v>
      </c>
      <c r="AL28" s="95" t="s">
        <v>1859</v>
      </c>
      <c r="AM28" s="95" t="s">
        <v>888</v>
      </c>
      <c r="AN28" s="97" t="s">
        <v>1607</v>
      </c>
    </row>
    <row r="29" spans="1:40" ht="12.75">
      <c r="A29" s="166">
        <f t="shared" si="3"/>
        <v>27</v>
      </c>
      <c r="B29" s="94" t="s">
        <v>303</v>
      </c>
      <c r="C29" s="95">
        <v>2</v>
      </c>
      <c r="D29" s="95">
        <v>1</v>
      </c>
      <c r="E29" s="456" t="s">
        <v>203</v>
      </c>
      <c r="F29" s="95" t="s">
        <v>780</v>
      </c>
      <c r="G29" s="95" t="s">
        <v>182</v>
      </c>
      <c r="H29" s="95" t="s">
        <v>864</v>
      </c>
      <c r="I29" s="95" t="s">
        <v>891</v>
      </c>
      <c r="J29" s="97" t="s">
        <v>1531</v>
      </c>
      <c r="K29" s="166">
        <f t="shared" si="0"/>
        <v>27</v>
      </c>
      <c r="L29" s="94" t="s">
        <v>298</v>
      </c>
      <c r="M29" s="95">
        <v>3</v>
      </c>
      <c r="N29" s="95">
        <v>1</v>
      </c>
      <c r="O29" s="456" t="s">
        <v>299</v>
      </c>
      <c r="P29" s="95" t="s">
        <v>780</v>
      </c>
      <c r="Q29" s="95" t="s">
        <v>286</v>
      </c>
      <c r="R29" s="95" t="s">
        <v>860</v>
      </c>
      <c r="S29" s="95" t="s">
        <v>1137</v>
      </c>
      <c r="T29" s="97" t="s">
        <v>1559</v>
      </c>
      <c r="U29" s="166">
        <f t="shared" si="1"/>
        <v>27</v>
      </c>
      <c r="V29" s="500" t="s">
        <v>314</v>
      </c>
      <c r="W29" s="95">
        <v>3</v>
      </c>
      <c r="X29" s="95" t="s">
        <v>178</v>
      </c>
      <c r="Y29" s="456" t="s">
        <v>242</v>
      </c>
      <c r="Z29" s="95" t="s">
        <v>780</v>
      </c>
      <c r="AA29" s="95" t="s">
        <v>220</v>
      </c>
      <c r="AB29" s="96" t="s">
        <v>859</v>
      </c>
      <c r="AC29" s="96" t="s">
        <v>894</v>
      </c>
      <c r="AD29" s="543" t="s">
        <v>1580</v>
      </c>
      <c r="AE29" s="95">
        <f t="shared" si="2"/>
        <v>27</v>
      </c>
      <c r="AF29" s="94" t="s">
        <v>315</v>
      </c>
      <c r="AG29" s="95">
        <v>3</v>
      </c>
      <c r="AH29" s="95" t="s">
        <v>178</v>
      </c>
      <c r="AI29" s="456" t="s">
        <v>242</v>
      </c>
      <c r="AJ29" s="95" t="s">
        <v>780</v>
      </c>
      <c r="AK29" s="95" t="s">
        <v>174</v>
      </c>
      <c r="AL29" s="96" t="s">
        <v>883</v>
      </c>
      <c r="AM29" s="96" t="s">
        <v>894</v>
      </c>
      <c r="AN29" s="97" t="s">
        <v>1604</v>
      </c>
    </row>
    <row r="30" spans="1:40" ht="12.75">
      <c r="A30" s="166">
        <f t="shared" si="3"/>
        <v>28</v>
      </c>
      <c r="B30" s="94" t="s">
        <v>2081</v>
      </c>
      <c r="C30" s="95">
        <v>3</v>
      </c>
      <c r="D30" s="95">
        <v>2</v>
      </c>
      <c r="E30" s="457" t="s">
        <v>186</v>
      </c>
      <c r="F30" s="95">
        <v>6</v>
      </c>
      <c r="G30" s="95" t="s">
        <v>185</v>
      </c>
      <c r="H30" s="95" t="s">
        <v>858</v>
      </c>
      <c r="I30" s="95" t="s">
        <v>887</v>
      </c>
      <c r="J30" s="97" t="s">
        <v>1528</v>
      </c>
      <c r="K30" s="166">
        <f t="shared" si="0"/>
        <v>28</v>
      </c>
      <c r="L30" s="94" t="s">
        <v>1882</v>
      </c>
      <c r="M30" s="95">
        <v>3</v>
      </c>
      <c r="N30" s="95">
        <v>1</v>
      </c>
      <c r="O30" s="457" t="s">
        <v>360</v>
      </c>
      <c r="P30" s="95" t="s">
        <v>780</v>
      </c>
      <c r="Q30" s="95" t="s">
        <v>220</v>
      </c>
      <c r="R30" s="96" t="s">
        <v>1883</v>
      </c>
      <c r="S30" s="95" t="s">
        <v>888</v>
      </c>
      <c r="T30" s="97" t="s">
        <v>1560</v>
      </c>
      <c r="U30" s="166">
        <f t="shared" si="1"/>
        <v>28</v>
      </c>
      <c r="V30" s="500" t="s">
        <v>2197</v>
      </c>
      <c r="W30" s="95">
        <v>3</v>
      </c>
      <c r="X30" s="95">
        <v>1</v>
      </c>
      <c r="Y30" s="457" t="s">
        <v>2452</v>
      </c>
      <c r="Z30" s="95">
        <v>2</v>
      </c>
      <c r="AA30" s="95" t="s">
        <v>185</v>
      </c>
      <c r="AB30" s="95" t="s">
        <v>2394</v>
      </c>
      <c r="AC30" s="95" t="s">
        <v>888</v>
      </c>
      <c r="AD30" s="543" t="s">
        <v>1528</v>
      </c>
      <c r="AE30" s="95">
        <f t="shared" si="2"/>
        <v>28</v>
      </c>
      <c r="AF30" s="94" t="s">
        <v>322</v>
      </c>
      <c r="AG30" s="95">
        <v>3</v>
      </c>
      <c r="AH30" s="95">
        <v>1</v>
      </c>
      <c r="AI30" s="456" t="s">
        <v>321</v>
      </c>
      <c r="AJ30" s="95" t="s">
        <v>780</v>
      </c>
      <c r="AK30" s="95" t="s">
        <v>323</v>
      </c>
      <c r="AL30" s="96" t="s">
        <v>884</v>
      </c>
      <c r="AM30" s="96" t="s">
        <v>889</v>
      </c>
      <c r="AN30" s="97" t="s">
        <v>1608</v>
      </c>
    </row>
    <row r="31" spans="1:40" ht="12.75">
      <c r="A31" s="166">
        <f t="shared" si="3"/>
        <v>29</v>
      </c>
      <c r="B31" s="94" t="s">
        <v>309</v>
      </c>
      <c r="C31" s="95">
        <v>3</v>
      </c>
      <c r="D31" s="95">
        <v>2</v>
      </c>
      <c r="E31" s="456" t="s">
        <v>311</v>
      </c>
      <c r="F31" s="95" t="s">
        <v>780</v>
      </c>
      <c r="G31" s="95" t="s">
        <v>174</v>
      </c>
      <c r="H31" s="96" t="s">
        <v>310</v>
      </c>
      <c r="I31" s="96" t="s">
        <v>1147</v>
      </c>
      <c r="J31" s="97" t="s">
        <v>1531</v>
      </c>
      <c r="K31" s="166">
        <f t="shared" si="0"/>
        <v>29</v>
      </c>
      <c r="L31" s="94" t="s">
        <v>2148</v>
      </c>
      <c r="M31" s="95">
        <v>3</v>
      </c>
      <c r="N31" s="95">
        <v>2</v>
      </c>
      <c r="O31" s="457" t="s">
        <v>186</v>
      </c>
      <c r="P31" s="95">
        <v>6</v>
      </c>
      <c r="Q31" s="95" t="s">
        <v>185</v>
      </c>
      <c r="R31" s="95" t="s">
        <v>858</v>
      </c>
      <c r="S31" s="95" t="s">
        <v>887</v>
      </c>
      <c r="T31" s="97" t="s">
        <v>1528</v>
      </c>
      <c r="U31" s="166">
        <f t="shared" si="1"/>
        <v>29</v>
      </c>
      <c r="V31" s="500" t="s">
        <v>320</v>
      </c>
      <c r="W31" s="95">
        <v>3</v>
      </c>
      <c r="X31" s="95">
        <v>2</v>
      </c>
      <c r="Y31" s="456" t="s">
        <v>321</v>
      </c>
      <c r="Z31" s="95" t="s">
        <v>780</v>
      </c>
      <c r="AA31" s="95" t="s">
        <v>185</v>
      </c>
      <c r="AB31" s="96" t="s">
        <v>859</v>
      </c>
      <c r="AC31" s="96" t="s">
        <v>1139</v>
      </c>
      <c r="AD31" s="543" t="s">
        <v>1580</v>
      </c>
      <c r="AE31" s="95">
        <f t="shared" si="2"/>
        <v>29</v>
      </c>
      <c r="AF31" s="94" t="s">
        <v>331</v>
      </c>
      <c r="AG31" s="95">
        <v>3</v>
      </c>
      <c r="AH31" s="95">
        <v>1</v>
      </c>
      <c r="AI31" s="456" t="s">
        <v>183</v>
      </c>
      <c r="AJ31" s="95" t="s">
        <v>780</v>
      </c>
      <c r="AK31" s="95" t="s">
        <v>174</v>
      </c>
      <c r="AL31" s="96" t="s">
        <v>332</v>
      </c>
      <c r="AM31" s="96" t="s">
        <v>1125</v>
      </c>
      <c r="AN31" s="97" t="s">
        <v>1608</v>
      </c>
    </row>
    <row r="32" spans="1:40" ht="12.75">
      <c r="A32" s="166">
        <f t="shared" si="3"/>
        <v>30</v>
      </c>
      <c r="B32" s="94" t="s">
        <v>2082</v>
      </c>
      <c r="C32" s="95">
        <v>3</v>
      </c>
      <c r="D32" s="95">
        <v>1</v>
      </c>
      <c r="E32" s="457" t="s">
        <v>2452</v>
      </c>
      <c r="F32" s="95">
        <v>2</v>
      </c>
      <c r="G32" s="95" t="s">
        <v>185</v>
      </c>
      <c r="H32" s="95" t="s">
        <v>2394</v>
      </c>
      <c r="I32" s="95" t="s">
        <v>888</v>
      </c>
      <c r="J32" s="97" t="s">
        <v>1533</v>
      </c>
      <c r="K32" s="166">
        <f t="shared" si="0"/>
        <v>30</v>
      </c>
      <c r="L32" s="94" t="s">
        <v>1884</v>
      </c>
      <c r="M32" s="95">
        <v>3</v>
      </c>
      <c r="N32" s="95">
        <v>1</v>
      </c>
      <c r="O32" s="457" t="s">
        <v>527</v>
      </c>
      <c r="P32" s="95" t="s">
        <v>780</v>
      </c>
      <c r="Q32" s="95" t="s">
        <v>197</v>
      </c>
      <c r="R32" s="95" t="s">
        <v>858</v>
      </c>
      <c r="S32" s="95" t="s">
        <v>888</v>
      </c>
      <c r="T32" s="97" t="s">
        <v>1560</v>
      </c>
      <c r="U32" s="166">
        <f t="shared" si="1"/>
        <v>30</v>
      </c>
      <c r="V32" s="500" t="s">
        <v>327</v>
      </c>
      <c r="W32" s="95">
        <v>3</v>
      </c>
      <c r="X32" s="95">
        <v>4</v>
      </c>
      <c r="Y32" s="456" t="s">
        <v>330</v>
      </c>
      <c r="Z32" s="95" t="s">
        <v>780</v>
      </c>
      <c r="AA32" s="95" t="s">
        <v>328</v>
      </c>
      <c r="AB32" s="96" t="s">
        <v>329</v>
      </c>
      <c r="AC32" s="96" t="s">
        <v>1136</v>
      </c>
      <c r="AD32" s="543" t="s">
        <v>1582</v>
      </c>
      <c r="AE32" s="95">
        <f t="shared" si="2"/>
        <v>30</v>
      </c>
      <c r="AF32" s="94" t="s">
        <v>339</v>
      </c>
      <c r="AG32" s="95">
        <v>3</v>
      </c>
      <c r="AH32" s="95">
        <v>2</v>
      </c>
      <c r="AI32" s="456" t="s">
        <v>340</v>
      </c>
      <c r="AJ32" s="95" t="s">
        <v>780</v>
      </c>
      <c r="AK32" s="95" t="s">
        <v>174</v>
      </c>
      <c r="AL32" s="95" t="s">
        <v>860</v>
      </c>
      <c r="AM32" s="95" t="s">
        <v>1126</v>
      </c>
      <c r="AN32" s="97" t="s">
        <v>1608</v>
      </c>
    </row>
    <row r="33" spans="1:40" ht="12.75">
      <c r="A33" s="166">
        <f t="shared" si="3"/>
        <v>31</v>
      </c>
      <c r="B33" s="94" t="s">
        <v>2069</v>
      </c>
      <c r="C33" s="95">
        <v>3</v>
      </c>
      <c r="D33" s="95">
        <v>1</v>
      </c>
      <c r="E33" s="457" t="s">
        <v>183</v>
      </c>
      <c r="F33" s="95">
        <v>6</v>
      </c>
      <c r="G33" s="95" t="s">
        <v>224</v>
      </c>
      <c r="H33" s="95" t="s">
        <v>2394</v>
      </c>
      <c r="I33" s="95" t="s">
        <v>889</v>
      </c>
      <c r="J33" s="97" t="s">
        <v>1530</v>
      </c>
      <c r="K33" s="166">
        <f t="shared" si="0"/>
        <v>31</v>
      </c>
      <c r="L33" s="94" t="s">
        <v>1901</v>
      </c>
      <c r="M33" s="95">
        <v>3</v>
      </c>
      <c r="N33" s="95">
        <v>1</v>
      </c>
      <c r="O33" s="456" t="s">
        <v>299</v>
      </c>
      <c r="P33" s="95" t="s">
        <v>780</v>
      </c>
      <c r="Q33" s="95" t="s">
        <v>185</v>
      </c>
      <c r="R33" s="95" t="s">
        <v>304</v>
      </c>
      <c r="S33" s="95" t="s">
        <v>1139</v>
      </c>
      <c r="T33" s="97" t="s">
        <v>1559</v>
      </c>
      <c r="U33" s="166">
        <f t="shared" si="1"/>
        <v>31</v>
      </c>
      <c r="V33" s="500" t="s">
        <v>337</v>
      </c>
      <c r="W33" s="95">
        <v>3</v>
      </c>
      <c r="X33" s="95">
        <v>1</v>
      </c>
      <c r="Y33" s="456" t="s">
        <v>338</v>
      </c>
      <c r="Z33" s="95" t="s">
        <v>780</v>
      </c>
      <c r="AA33" s="95" t="s">
        <v>226</v>
      </c>
      <c r="AB33" s="95" t="s">
        <v>880</v>
      </c>
      <c r="AC33" s="95" t="s">
        <v>888</v>
      </c>
      <c r="AD33" s="543" t="s">
        <v>1582</v>
      </c>
      <c r="AE33" s="95">
        <f t="shared" si="2"/>
        <v>31</v>
      </c>
      <c r="AF33" s="94" t="s">
        <v>346</v>
      </c>
      <c r="AG33" s="95">
        <v>3</v>
      </c>
      <c r="AH33" s="95">
        <v>1</v>
      </c>
      <c r="AI33" s="456" t="s">
        <v>183</v>
      </c>
      <c r="AJ33" s="95" t="s">
        <v>780</v>
      </c>
      <c r="AK33" s="95" t="s">
        <v>174</v>
      </c>
      <c r="AL33" s="95" t="s">
        <v>347</v>
      </c>
      <c r="AM33" s="95" t="s">
        <v>1125</v>
      </c>
      <c r="AN33" s="97" t="s">
        <v>1608</v>
      </c>
    </row>
    <row r="34" spans="1:40" ht="12.75">
      <c r="A34" s="166">
        <f t="shared" si="3"/>
        <v>32</v>
      </c>
      <c r="B34" s="94" t="s">
        <v>2070</v>
      </c>
      <c r="C34" s="95">
        <v>3</v>
      </c>
      <c r="D34" s="95" t="s">
        <v>178</v>
      </c>
      <c r="E34" s="457" t="s">
        <v>317</v>
      </c>
      <c r="F34" s="95">
        <v>4</v>
      </c>
      <c r="G34" s="95" t="s">
        <v>205</v>
      </c>
      <c r="H34" s="95" t="s">
        <v>863</v>
      </c>
      <c r="I34" s="95" t="s">
        <v>1132</v>
      </c>
      <c r="J34" s="97" t="s">
        <v>1530</v>
      </c>
      <c r="K34" s="166">
        <f t="shared" si="0"/>
        <v>32</v>
      </c>
      <c r="L34" s="94" t="s">
        <v>2149</v>
      </c>
      <c r="M34" s="95">
        <v>3</v>
      </c>
      <c r="N34" s="95">
        <v>2</v>
      </c>
      <c r="O34" s="457" t="s">
        <v>186</v>
      </c>
      <c r="P34" s="95">
        <v>6</v>
      </c>
      <c r="Q34" s="95" t="s">
        <v>185</v>
      </c>
      <c r="R34" s="95" t="s">
        <v>858</v>
      </c>
      <c r="S34" s="95" t="s">
        <v>887</v>
      </c>
      <c r="T34" s="97" t="s">
        <v>1528</v>
      </c>
      <c r="U34" s="166">
        <f t="shared" si="1"/>
        <v>32</v>
      </c>
      <c r="V34" s="500" t="s">
        <v>344</v>
      </c>
      <c r="W34" s="95">
        <v>3</v>
      </c>
      <c r="X34" s="95" t="s">
        <v>178</v>
      </c>
      <c r="Y34" s="456" t="s">
        <v>228</v>
      </c>
      <c r="Z34" s="95" t="s">
        <v>780</v>
      </c>
      <c r="AA34" s="95" t="s">
        <v>205</v>
      </c>
      <c r="AB34" s="95" t="s">
        <v>345</v>
      </c>
      <c r="AC34" s="95" t="s">
        <v>896</v>
      </c>
      <c r="AD34" s="543" t="s">
        <v>1582</v>
      </c>
      <c r="AE34" s="95">
        <f t="shared" si="2"/>
        <v>32</v>
      </c>
      <c r="AF34" s="94" t="s">
        <v>353</v>
      </c>
      <c r="AG34" s="95">
        <v>3</v>
      </c>
      <c r="AH34" s="95">
        <v>2</v>
      </c>
      <c r="AI34" s="456" t="s">
        <v>2452</v>
      </c>
      <c r="AJ34" s="95" t="s">
        <v>780</v>
      </c>
      <c r="AK34" s="95" t="s">
        <v>226</v>
      </c>
      <c r="AL34" s="96" t="s">
        <v>862</v>
      </c>
      <c r="AM34" s="95" t="s">
        <v>888</v>
      </c>
      <c r="AN34" s="97" t="s">
        <v>1608</v>
      </c>
    </row>
    <row r="35" spans="1:40" ht="12.75">
      <c r="A35" s="166">
        <f t="shared" si="3"/>
        <v>33</v>
      </c>
      <c r="B35" s="94" t="s">
        <v>2071</v>
      </c>
      <c r="C35" s="95">
        <v>3</v>
      </c>
      <c r="D35" s="95">
        <v>2</v>
      </c>
      <c r="E35" s="457" t="s">
        <v>2072</v>
      </c>
      <c r="F35" s="95" t="s">
        <v>780</v>
      </c>
      <c r="G35" s="95" t="s">
        <v>174</v>
      </c>
      <c r="H35" s="96" t="s">
        <v>2073</v>
      </c>
      <c r="I35" s="95" t="s">
        <v>895</v>
      </c>
      <c r="J35" s="97" t="s">
        <v>1530</v>
      </c>
      <c r="K35" s="166">
        <f t="shared" si="0"/>
        <v>33</v>
      </c>
      <c r="L35" s="94" t="s">
        <v>2150</v>
      </c>
      <c r="M35" s="95">
        <v>3</v>
      </c>
      <c r="N35" s="95">
        <v>1</v>
      </c>
      <c r="O35" s="457" t="s">
        <v>2452</v>
      </c>
      <c r="P35" s="95">
        <v>2</v>
      </c>
      <c r="Q35" s="95" t="s">
        <v>185</v>
      </c>
      <c r="R35" s="95" t="s">
        <v>2394</v>
      </c>
      <c r="S35" s="95" t="s">
        <v>888</v>
      </c>
      <c r="T35" s="97" t="s">
        <v>1528</v>
      </c>
      <c r="U35" s="166">
        <f t="shared" si="1"/>
        <v>33</v>
      </c>
      <c r="V35" s="500" t="s">
        <v>2200</v>
      </c>
      <c r="W35" s="95">
        <v>3</v>
      </c>
      <c r="X35" s="95">
        <v>3</v>
      </c>
      <c r="Y35" s="457" t="s">
        <v>343</v>
      </c>
      <c r="Z35" s="95">
        <v>2</v>
      </c>
      <c r="AA35" s="95" t="s">
        <v>174</v>
      </c>
      <c r="AB35" s="95" t="s">
        <v>2201</v>
      </c>
      <c r="AC35" s="95" t="s">
        <v>1136</v>
      </c>
      <c r="AD35" s="543" t="s">
        <v>1583</v>
      </c>
      <c r="AE35" s="95">
        <f t="shared" si="2"/>
        <v>33</v>
      </c>
      <c r="AF35" s="94" t="s">
        <v>2294</v>
      </c>
      <c r="AG35" s="95">
        <v>3</v>
      </c>
      <c r="AH35" s="95">
        <v>1</v>
      </c>
      <c r="AI35" s="457" t="s">
        <v>183</v>
      </c>
      <c r="AJ35" s="95" t="s">
        <v>780</v>
      </c>
      <c r="AK35" s="95" t="s">
        <v>174</v>
      </c>
      <c r="AL35" s="95" t="s">
        <v>2295</v>
      </c>
      <c r="AM35" s="95" t="s">
        <v>2296</v>
      </c>
      <c r="AN35" s="97" t="s">
        <v>1607</v>
      </c>
    </row>
    <row r="36" spans="1:40" ht="12.75">
      <c r="A36" s="166">
        <f t="shared" si="3"/>
        <v>34</v>
      </c>
      <c r="B36" s="94" t="s">
        <v>316</v>
      </c>
      <c r="C36" s="95">
        <v>3</v>
      </c>
      <c r="D36" s="95" t="s">
        <v>178</v>
      </c>
      <c r="E36" s="456" t="s">
        <v>317</v>
      </c>
      <c r="F36" s="95" t="s">
        <v>780</v>
      </c>
      <c r="G36" s="95" t="s">
        <v>238</v>
      </c>
      <c r="H36" s="96" t="s">
        <v>859</v>
      </c>
      <c r="I36" s="96" t="s">
        <v>1148</v>
      </c>
      <c r="J36" s="97" t="s">
        <v>1531</v>
      </c>
      <c r="K36" s="166">
        <f t="shared" si="0"/>
        <v>34</v>
      </c>
      <c r="L36" s="94" t="s">
        <v>312</v>
      </c>
      <c r="M36" s="95">
        <v>3</v>
      </c>
      <c r="N36" s="95">
        <v>2</v>
      </c>
      <c r="O36" s="456" t="s">
        <v>313</v>
      </c>
      <c r="P36" s="95" t="s">
        <v>780</v>
      </c>
      <c r="Q36" s="95" t="s">
        <v>174</v>
      </c>
      <c r="R36" s="96" t="s">
        <v>863</v>
      </c>
      <c r="S36" s="96" t="s">
        <v>1128</v>
      </c>
      <c r="T36" s="97" t="s">
        <v>1559</v>
      </c>
      <c r="U36" s="166">
        <f t="shared" si="1"/>
        <v>34</v>
      </c>
      <c r="V36" s="500" t="s">
        <v>2198</v>
      </c>
      <c r="W36" s="95">
        <v>3</v>
      </c>
      <c r="X36" s="95">
        <v>2</v>
      </c>
      <c r="Y36" s="457" t="s">
        <v>2195</v>
      </c>
      <c r="Z36" s="95">
        <v>2</v>
      </c>
      <c r="AA36" s="95" t="s">
        <v>174</v>
      </c>
      <c r="AB36" s="95" t="s">
        <v>2199</v>
      </c>
      <c r="AC36" s="95" t="s">
        <v>1136</v>
      </c>
      <c r="AD36" s="543" t="s">
        <v>1581</v>
      </c>
      <c r="AE36" s="95">
        <f t="shared" si="2"/>
        <v>34</v>
      </c>
      <c r="AF36" s="94" t="s">
        <v>2297</v>
      </c>
      <c r="AG36" s="95">
        <v>3</v>
      </c>
      <c r="AH36" s="95">
        <v>2</v>
      </c>
      <c r="AI36" s="457" t="s">
        <v>192</v>
      </c>
      <c r="AJ36" s="95" t="s">
        <v>780</v>
      </c>
      <c r="AK36" s="95" t="s">
        <v>174</v>
      </c>
      <c r="AL36" s="95" t="s">
        <v>858</v>
      </c>
      <c r="AM36" s="95" t="s">
        <v>1128</v>
      </c>
      <c r="AN36" s="97" t="s">
        <v>1607</v>
      </c>
    </row>
    <row r="37" spans="1:40" ht="12.75">
      <c r="A37" s="166">
        <f t="shared" si="3"/>
        <v>35</v>
      </c>
      <c r="B37" s="94" t="s">
        <v>2074</v>
      </c>
      <c r="C37" s="95">
        <v>3</v>
      </c>
      <c r="D37" s="95">
        <v>1</v>
      </c>
      <c r="E37" s="457" t="s">
        <v>360</v>
      </c>
      <c r="F37" s="95" t="s">
        <v>780</v>
      </c>
      <c r="G37" s="95" t="s">
        <v>182</v>
      </c>
      <c r="H37" s="95" t="s">
        <v>859</v>
      </c>
      <c r="I37" s="95" t="s">
        <v>888</v>
      </c>
      <c r="J37" s="97" t="s">
        <v>1534</v>
      </c>
      <c r="K37" s="166">
        <f t="shared" si="0"/>
        <v>35</v>
      </c>
      <c r="L37" s="94" t="s">
        <v>318</v>
      </c>
      <c r="M37" s="95">
        <v>3</v>
      </c>
      <c r="N37" s="95">
        <v>2</v>
      </c>
      <c r="O37" s="456" t="s">
        <v>183</v>
      </c>
      <c r="P37" s="95" t="s">
        <v>780</v>
      </c>
      <c r="Q37" s="95" t="s">
        <v>174</v>
      </c>
      <c r="R37" s="96" t="s">
        <v>319</v>
      </c>
      <c r="S37" s="96" t="s">
        <v>1128</v>
      </c>
      <c r="T37" s="97" t="s">
        <v>1559</v>
      </c>
      <c r="U37" s="166">
        <f t="shared" si="1"/>
        <v>35</v>
      </c>
      <c r="V37" s="500" t="s">
        <v>2202</v>
      </c>
      <c r="W37" s="95">
        <v>3</v>
      </c>
      <c r="X37" s="95">
        <v>2</v>
      </c>
      <c r="Y37" s="457" t="s">
        <v>183</v>
      </c>
      <c r="Z37" s="95" t="s">
        <v>780</v>
      </c>
      <c r="AA37" s="95" t="s">
        <v>174</v>
      </c>
      <c r="AB37" s="95" t="s">
        <v>858</v>
      </c>
      <c r="AC37" s="95" t="s">
        <v>895</v>
      </c>
      <c r="AD37" s="543" t="s">
        <v>1581</v>
      </c>
      <c r="AE37" s="95">
        <f t="shared" si="2"/>
        <v>35</v>
      </c>
      <c r="AF37" s="94" t="s">
        <v>358</v>
      </c>
      <c r="AG37" s="95">
        <v>4</v>
      </c>
      <c r="AH37" s="95">
        <v>3</v>
      </c>
      <c r="AI37" s="456" t="s">
        <v>360</v>
      </c>
      <c r="AJ37" s="95" t="s">
        <v>780</v>
      </c>
      <c r="AK37" s="95" t="s">
        <v>359</v>
      </c>
      <c r="AL37" s="96" t="s">
        <v>858</v>
      </c>
      <c r="AM37" s="96" t="s">
        <v>1127</v>
      </c>
      <c r="AN37" s="97" t="s">
        <v>1608</v>
      </c>
    </row>
    <row r="38" spans="1:40" ht="12.75">
      <c r="A38" s="166">
        <f t="shared" si="3"/>
        <v>36</v>
      </c>
      <c r="B38" s="94" t="s">
        <v>324</v>
      </c>
      <c r="C38" s="95">
        <v>3</v>
      </c>
      <c r="D38" s="95">
        <v>3</v>
      </c>
      <c r="E38" s="456" t="s">
        <v>311</v>
      </c>
      <c r="F38" s="95" t="s">
        <v>780</v>
      </c>
      <c r="G38" s="95" t="s">
        <v>182</v>
      </c>
      <c r="H38" s="96" t="s">
        <v>862</v>
      </c>
      <c r="I38" s="96" t="s">
        <v>1128</v>
      </c>
      <c r="J38" s="97" t="s">
        <v>1535</v>
      </c>
      <c r="K38" s="166">
        <f t="shared" si="0"/>
        <v>36</v>
      </c>
      <c r="L38" s="94" t="s">
        <v>325</v>
      </c>
      <c r="M38" s="95">
        <v>3</v>
      </c>
      <c r="N38" s="95">
        <v>1</v>
      </c>
      <c r="O38" s="456" t="s">
        <v>326</v>
      </c>
      <c r="P38" s="95" t="s">
        <v>780</v>
      </c>
      <c r="Q38" s="95" t="s">
        <v>185</v>
      </c>
      <c r="R38" s="96" t="s">
        <v>858</v>
      </c>
      <c r="S38" s="96" t="s">
        <v>1132</v>
      </c>
      <c r="T38" s="97" t="s">
        <v>1559</v>
      </c>
      <c r="U38" s="166">
        <f t="shared" si="1"/>
        <v>36</v>
      </c>
      <c r="V38" s="500" t="s">
        <v>350</v>
      </c>
      <c r="W38" s="95">
        <v>3</v>
      </c>
      <c r="X38" s="95">
        <v>1</v>
      </c>
      <c r="Y38" s="456" t="s">
        <v>352</v>
      </c>
      <c r="Z38" s="95" t="s">
        <v>780</v>
      </c>
      <c r="AA38" s="95" t="s">
        <v>174</v>
      </c>
      <c r="AB38" s="96" t="s">
        <v>351</v>
      </c>
      <c r="AC38" s="95" t="s">
        <v>890</v>
      </c>
      <c r="AD38" s="543" t="s">
        <v>1582</v>
      </c>
      <c r="AE38" s="95">
        <f t="shared" si="2"/>
        <v>36</v>
      </c>
      <c r="AF38" s="94" t="s">
        <v>2298</v>
      </c>
      <c r="AG38" s="95">
        <v>4</v>
      </c>
      <c r="AH38" s="95">
        <v>2</v>
      </c>
      <c r="AI38" s="457" t="s">
        <v>377</v>
      </c>
      <c r="AJ38" s="95" t="s">
        <v>780</v>
      </c>
      <c r="AK38" s="95" t="s">
        <v>238</v>
      </c>
      <c r="AL38" s="95" t="s">
        <v>862</v>
      </c>
      <c r="AM38" s="95" t="s">
        <v>2260</v>
      </c>
      <c r="AN38" s="97" t="s">
        <v>1609</v>
      </c>
    </row>
    <row r="39" spans="1:40" ht="12.75">
      <c r="A39" s="166">
        <f t="shared" si="3"/>
        <v>37</v>
      </c>
      <c r="B39" s="94" t="s">
        <v>333</v>
      </c>
      <c r="C39" s="95">
        <v>3</v>
      </c>
      <c r="D39" s="95">
        <v>2</v>
      </c>
      <c r="E39" s="456" t="s">
        <v>334</v>
      </c>
      <c r="F39" s="95" t="s">
        <v>780</v>
      </c>
      <c r="G39" s="95" t="s">
        <v>216</v>
      </c>
      <c r="H39" s="95" t="s">
        <v>2394</v>
      </c>
      <c r="I39" s="95" t="s">
        <v>1136</v>
      </c>
      <c r="J39" s="97" t="s">
        <v>1535</v>
      </c>
      <c r="K39" s="166">
        <f t="shared" si="0"/>
        <v>37</v>
      </c>
      <c r="L39" s="94" t="s">
        <v>335</v>
      </c>
      <c r="M39" s="95">
        <v>3</v>
      </c>
      <c r="N39" s="95">
        <v>1</v>
      </c>
      <c r="O39" s="456" t="s">
        <v>336</v>
      </c>
      <c r="P39" s="95" t="s">
        <v>780</v>
      </c>
      <c r="Q39" s="95" t="s">
        <v>205</v>
      </c>
      <c r="R39" s="95" t="s">
        <v>862</v>
      </c>
      <c r="S39" s="95" t="s">
        <v>1140</v>
      </c>
      <c r="T39" s="97" t="s">
        <v>1561</v>
      </c>
      <c r="U39" s="166">
        <f t="shared" si="1"/>
        <v>37</v>
      </c>
      <c r="V39" s="500" t="s">
        <v>2203</v>
      </c>
      <c r="W39" s="95">
        <v>3</v>
      </c>
      <c r="X39" s="95">
        <v>1</v>
      </c>
      <c r="Y39" s="457" t="s">
        <v>183</v>
      </c>
      <c r="Z39" s="95">
        <v>9</v>
      </c>
      <c r="AA39" s="95" t="s">
        <v>205</v>
      </c>
      <c r="AB39" s="95" t="s">
        <v>2204</v>
      </c>
      <c r="AC39" s="95" t="s">
        <v>1125</v>
      </c>
      <c r="AD39" s="543" t="s">
        <v>1581</v>
      </c>
      <c r="AE39" s="95">
        <f t="shared" si="2"/>
        <v>37</v>
      </c>
      <c r="AF39" s="94" t="s">
        <v>2299</v>
      </c>
      <c r="AG39" s="95">
        <v>4</v>
      </c>
      <c r="AH39" s="95">
        <v>1</v>
      </c>
      <c r="AI39" s="457" t="s">
        <v>486</v>
      </c>
      <c r="AJ39" s="95" t="s">
        <v>780</v>
      </c>
      <c r="AK39" s="95" t="s">
        <v>220</v>
      </c>
      <c r="AL39" s="96" t="s">
        <v>2300</v>
      </c>
      <c r="AM39" s="95" t="s">
        <v>2296</v>
      </c>
      <c r="AN39" s="97" t="s">
        <v>1609</v>
      </c>
    </row>
    <row r="40" spans="1:40" ht="12.75">
      <c r="A40" s="166">
        <f t="shared" si="3"/>
        <v>38</v>
      </c>
      <c r="B40" s="94" t="s">
        <v>341</v>
      </c>
      <c r="C40" s="95">
        <v>3</v>
      </c>
      <c r="D40" s="95">
        <v>1</v>
      </c>
      <c r="E40" s="456" t="s">
        <v>183</v>
      </c>
      <c r="F40" s="95" t="s">
        <v>780</v>
      </c>
      <c r="G40" s="95" t="s">
        <v>216</v>
      </c>
      <c r="H40" s="95" t="s">
        <v>2394</v>
      </c>
      <c r="I40" s="95" t="s">
        <v>891</v>
      </c>
      <c r="J40" s="97" t="s">
        <v>1535</v>
      </c>
      <c r="K40" s="166">
        <f t="shared" si="0"/>
        <v>38</v>
      </c>
      <c r="L40" s="94" t="s">
        <v>1886</v>
      </c>
      <c r="M40" s="95">
        <v>3</v>
      </c>
      <c r="N40" s="95">
        <v>1</v>
      </c>
      <c r="O40" s="457" t="s">
        <v>183</v>
      </c>
      <c r="P40" s="95" t="s">
        <v>780</v>
      </c>
      <c r="Q40" s="95" t="s">
        <v>205</v>
      </c>
      <c r="R40" s="95" t="s">
        <v>1860</v>
      </c>
      <c r="S40" s="95" t="s">
        <v>896</v>
      </c>
      <c r="T40" s="97" t="s">
        <v>1560</v>
      </c>
      <c r="U40" s="166">
        <f t="shared" si="1"/>
        <v>38</v>
      </c>
      <c r="V40" s="500" t="s">
        <v>356</v>
      </c>
      <c r="W40" s="95">
        <v>4</v>
      </c>
      <c r="X40" s="95">
        <v>2</v>
      </c>
      <c r="Y40" s="456" t="s">
        <v>343</v>
      </c>
      <c r="Z40" s="95" t="s">
        <v>780</v>
      </c>
      <c r="AA40" s="95" t="s">
        <v>323</v>
      </c>
      <c r="AB40" s="96" t="s">
        <v>357</v>
      </c>
      <c r="AC40" s="96" t="s">
        <v>1140</v>
      </c>
      <c r="AD40" s="543" t="s">
        <v>1582</v>
      </c>
      <c r="AE40" s="95">
        <f t="shared" si="2"/>
        <v>38</v>
      </c>
      <c r="AF40" s="94" t="s">
        <v>365</v>
      </c>
      <c r="AG40" s="95">
        <v>4</v>
      </c>
      <c r="AH40" s="95">
        <v>2</v>
      </c>
      <c r="AI40" s="456" t="s">
        <v>290</v>
      </c>
      <c r="AJ40" s="95" t="s">
        <v>780</v>
      </c>
      <c r="AK40" s="95" t="s">
        <v>366</v>
      </c>
      <c r="AL40" s="95" t="s">
        <v>367</v>
      </c>
      <c r="AM40" s="96" t="s">
        <v>894</v>
      </c>
      <c r="AN40" s="97" t="s">
        <v>1608</v>
      </c>
    </row>
    <row r="41" spans="1:40" ht="12.75">
      <c r="A41" s="166">
        <f t="shared" si="3"/>
        <v>39</v>
      </c>
      <c r="B41" s="94" t="s">
        <v>348</v>
      </c>
      <c r="C41" s="95">
        <v>3</v>
      </c>
      <c r="D41" s="95">
        <v>1</v>
      </c>
      <c r="E41" s="456" t="s">
        <v>308</v>
      </c>
      <c r="F41" s="95" t="s">
        <v>780</v>
      </c>
      <c r="G41" s="95" t="s">
        <v>174</v>
      </c>
      <c r="H41" s="96" t="s">
        <v>859</v>
      </c>
      <c r="I41" s="95" t="s">
        <v>1156</v>
      </c>
      <c r="J41" s="97" t="s">
        <v>1535</v>
      </c>
      <c r="K41" s="166">
        <f t="shared" si="0"/>
        <v>39</v>
      </c>
      <c r="L41" s="94" t="s">
        <v>1885</v>
      </c>
      <c r="M41" s="95">
        <v>3</v>
      </c>
      <c r="N41" s="95">
        <v>1</v>
      </c>
      <c r="O41" s="457" t="s">
        <v>183</v>
      </c>
      <c r="P41" s="95" t="s">
        <v>780</v>
      </c>
      <c r="Q41" s="95" t="s">
        <v>174</v>
      </c>
      <c r="R41" s="96" t="s">
        <v>1883</v>
      </c>
      <c r="S41" s="95" t="s">
        <v>889</v>
      </c>
      <c r="T41" s="97" t="s">
        <v>1560</v>
      </c>
      <c r="U41" s="166">
        <f t="shared" si="1"/>
        <v>39</v>
      </c>
      <c r="V41" s="500" t="s">
        <v>363</v>
      </c>
      <c r="W41" s="95">
        <v>4</v>
      </c>
      <c r="X41" s="95">
        <v>2</v>
      </c>
      <c r="Y41" s="456" t="s">
        <v>313</v>
      </c>
      <c r="Z41" s="95" t="s">
        <v>780</v>
      </c>
      <c r="AA41" s="95" t="s">
        <v>364</v>
      </c>
      <c r="AB41" s="95" t="s">
        <v>858</v>
      </c>
      <c r="AC41" s="96" t="s">
        <v>894</v>
      </c>
      <c r="AD41" s="543" t="s">
        <v>1582</v>
      </c>
      <c r="AE41" s="95">
        <f t="shared" si="2"/>
        <v>39</v>
      </c>
      <c r="AF41" s="94" t="s">
        <v>2301</v>
      </c>
      <c r="AG41" s="95">
        <v>4</v>
      </c>
      <c r="AH41" s="95" t="s">
        <v>178</v>
      </c>
      <c r="AI41" s="457" t="s">
        <v>2097</v>
      </c>
      <c r="AJ41" s="95" t="s">
        <v>780</v>
      </c>
      <c r="AK41" s="95" t="s">
        <v>182</v>
      </c>
      <c r="AL41" s="96" t="s">
        <v>2302</v>
      </c>
      <c r="AM41" s="95" t="s">
        <v>894</v>
      </c>
      <c r="AN41" s="97" t="s">
        <v>1609</v>
      </c>
    </row>
    <row r="42" spans="1:40" ht="12.75">
      <c r="A42" s="166">
        <f t="shared" si="3"/>
        <v>40</v>
      </c>
      <c r="B42" s="94" t="s">
        <v>2076</v>
      </c>
      <c r="C42" s="95">
        <v>3</v>
      </c>
      <c r="D42" s="95" t="s">
        <v>178</v>
      </c>
      <c r="E42" s="457" t="s">
        <v>317</v>
      </c>
      <c r="F42" s="95" t="s">
        <v>780</v>
      </c>
      <c r="G42" s="95" t="s">
        <v>197</v>
      </c>
      <c r="H42" s="96" t="s">
        <v>2075</v>
      </c>
      <c r="I42" s="95" t="s">
        <v>888</v>
      </c>
      <c r="J42" s="97" t="s">
        <v>1534</v>
      </c>
      <c r="K42" s="166">
        <f t="shared" si="0"/>
        <v>40</v>
      </c>
      <c r="L42" s="94" t="s">
        <v>1887</v>
      </c>
      <c r="M42" s="95">
        <v>3</v>
      </c>
      <c r="N42" s="95">
        <v>1</v>
      </c>
      <c r="O42" s="457" t="s">
        <v>183</v>
      </c>
      <c r="P42" s="95" t="s">
        <v>780</v>
      </c>
      <c r="Q42" s="95" t="s">
        <v>205</v>
      </c>
      <c r="R42" s="95" t="s">
        <v>1888</v>
      </c>
      <c r="S42" s="95" t="s">
        <v>891</v>
      </c>
      <c r="T42" s="97" t="s">
        <v>1560</v>
      </c>
      <c r="U42" s="166">
        <f t="shared" si="1"/>
        <v>40</v>
      </c>
      <c r="V42" s="500" t="s">
        <v>2205</v>
      </c>
      <c r="W42" s="95">
        <v>4</v>
      </c>
      <c r="X42" s="95">
        <v>2</v>
      </c>
      <c r="Y42" s="457" t="s">
        <v>313</v>
      </c>
      <c r="Z42" s="95">
        <v>8</v>
      </c>
      <c r="AA42" s="95" t="s">
        <v>220</v>
      </c>
      <c r="AB42" s="95" t="s">
        <v>2206</v>
      </c>
      <c r="AC42" s="95" t="s">
        <v>1142</v>
      </c>
      <c r="AD42" s="543" t="s">
        <v>1584</v>
      </c>
      <c r="AE42" s="95">
        <f t="shared" si="2"/>
        <v>40</v>
      </c>
      <c r="AF42" s="94" t="s">
        <v>2303</v>
      </c>
      <c r="AG42" s="95">
        <v>4</v>
      </c>
      <c r="AH42" s="95">
        <v>1</v>
      </c>
      <c r="AI42" s="457" t="s">
        <v>2195</v>
      </c>
      <c r="AJ42" s="95" t="s">
        <v>780</v>
      </c>
      <c r="AK42" s="95" t="s">
        <v>220</v>
      </c>
      <c r="AL42" s="95" t="s">
        <v>2304</v>
      </c>
      <c r="AM42" s="95" t="s">
        <v>889</v>
      </c>
      <c r="AN42" s="97" t="s">
        <v>1609</v>
      </c>
    </row>
    <row r="43" spans="1:40" ht="12.75">
      <c r="A43" s="166">
        <f t="shared" si="3"/>
        <v>41</v>
      </c>
      <c r="B43" s="94" t="s">
        <v>354</v>
      </c>
      <c r="C43" s="95">
        <v>3</v>
      </c>
      <c r="D43" s="95">
        <v>3</v>
      </c>
      <c r="E43" s="456" t="s">
        <v>299</v>
      </c>
      <c r="F43" s="95" t="s">
        <v>780</v>
      </c>
      <c r="G43" s="95" t="s">
        <v>194</v>
      </c>
      <c r="H43" s="96" t="s">
        <v>863</v>
      </c>
      <c r="I43" s="96" t="s">
        <v>887</v>
      </c>
      <c r="J43" s="97" t="s">
        <v>1535</v>
      </c>
      <c r="K43" s="166">
        <f t="shared" si="0"/>
        <v>41</v>
      </c>
      <c r="L43" s="94" t="s">
        <v>1889</v>
      </c>
      <c r="M43" s="95">
        <v>3</v>
      </c>
      <c r="N43" s="95">
        <v>3</v>
      </c>
      <c r="O43" s="456" t="s">
        <v>343</v>
      </c>
      <c r="P43" s="95" t="s">
        <v>780</v>
      </c>
      <c r="Q43" s="95" t="s">
        <v>342</v>
      </c>
      <c r="R43" s="95" t="s">
        <v>862</v>
      </c>
      <c r="S43" s="95" t="s">
        <v>896</v>
      </c>
      <c r="T43" s="97" t="s">
        <v>1561</v>
      </c>
      <c r="U43" s="166">
        <f t="shared" si="1"/>
        <v>41</v>
      </c>
      <c r="V43" s="500" t="s">
        <v>2207</v>
      </c>
      <c r="W43" s="95">
        <v>4</v>
      </c>
      <c r="X43" s="95">
        <v>1</v>
      </c>
      <c r="Y43" s="457" t="s">
        <v>527</v>
      </c>
      <c r="Z43" s="95" t="s">
        <v>780</v>
      </c>
      <c r="AA43" s="95" t="s">
        <v>205</v>
      </c>
      <c r="AB43" s="95" t="s">
        <v>2208</v>
      </c>
      <c r="AC43" s="95" t="s">
        <v>895</v>
      </c>
      <c r="AD43" s="543" t="s">
        <v>1584</v>
      </c>
      <c r="AE43" s="95">
        <f t="shared" si="2"/>
        <v>41</v>
      </c>
      <c r="AF43" s="94" t="s">
        <v>2305</v>
      </c>
      <c r="AG43" s="95">
        <v>4</v>
      </c>
      <c r="AH43" s="95">
        <v>1</v>
      </c>
      <c r="AI43" s="457" t="s">
        <v>527</v>
      </c>
      <c r="AJ43" s="95" t="s">
        <v>780</v>
      </c>
      <c r="AK43" s="95" t="s">
        <v>366</v>
      </c>
      <c r="AL43" s="95" t="s">
        <v>1859</v>
      </c>
      <c r="AM43" s="95" t="s">
        <v>888</v>
      </c>
      <c r="AN43" s="97" t="s">
        <v>1609</v>
      </c>
    </row>
    <row r="44" spans="1:40" ht="12.75">
      <c r="A44" s="166">
        <f t="shared" si="3"/>
        <v>42</v>
      </c>
      <c r="B44" s="94" t="s">
        <v>2077</v>
      </c>
      <c r="C44" s="95">
        <v>3</v>
      </c>
      <c r="D44" s="95">
        <v>1</v>
      </c>
      <c r="E44" s="457" t="s">
        <v>360</v>
      </c>
      <c r="F44" s="95">
        <v>6</v>
      </c>
      <c r="G44" s="95" t="s">
        <v>205</v>
      </c>
      <c r="H44" s="96" t="s">
        <v>2078</v>
      </c>
      <c r="I44" s="95" t="s">
        <v>1133</v>
      </c>
      <c r="J44" s="97" t="s">
        <v>1534</v>
      </c>
      <c r="K44" s="166">
        <f t="shared" si="0"/>
        <v>42</v>
      </c>
      <c r="L44" s="94" t="s">
        <v>1890</v>
      </c>
      <c r="M44" s="95">
        <v>4</v>
      </c>
      <c r="N44" s="95">
        <v>1</v>
      </c>
      <c r="O44" s="457" t="s">
        <v>369</v>
      </c>
      <c r="P44" s="95" t="s">
        <v>780</v>
      </c>
      <c r="Q44" s="95" t="s">
        <v>205</v>
      </c>
      <c r="R44" s="95" t="s">
        <v>861</v>
      </c>
      <c r="S44" s="95" t="s">
        <v>896</v>
      </c>
      <c r="T44" s="97" t="s">
        <v>1562</v>
      </c>
      <c r="U44" s="166">
        <f t="shared" si="1"/>
        <v>42</v>
      </c>
      <c r="V44" s="500" t="s">
        <v>372</v>
      </c>
      <c r="W44" s="95">
        <v>4</v>
      </c>
      <c r="X44" s="95">
        <v>2</v>
      </c>
      <c r="Y44" s="456" t="s">
        <v>313</v>
      </c>
      <c r="Z44" s="95" t="s">
        <v>780</v>
      </c>
      <c r="AA44" s="95" t="s">
        <v>182</v>
      </c>
      <c r="AB44" s="96" t="s">
        <v>373</v>
      </c>
      <c r="AC44" s="95" t="s">
        <v>890</v>
      </c>
      <c r="AD44" s="543" t="s">
        <v>1582</v>
      </c>
      <c r="AE44" s="95">
        <f t="shared" si="2"/>
        <v>42</v>
      </c>
      <c r="AF44" s="94" t="s">
        <v>374</v>
      </c>
      <c r="AG44" s="95">
        <v>4</v>
      </c>
      <c r="AH44" s="95">
        <v>4</v>
      </c>
      <c r="AI44" s="456" t="s">
        <v>375</v>
      </c>
      <c r="AJ44" s="95" t="s">
        <v>780</v>
      </c>
      <c r="AK44" s="95" t="s">
        <v>182</v>
      </c>
      <c r="AL44" s="96" t="s">
        <v>862</v>
      </c>
      <c r="AM44" s="95" t="s">
        <v>893</v>
      </c>
      <c r="AN44" s="97" t="s">
        <v>1608</v>
      </c>
    </row>
    <row r="45" spans="1:40" ht="12.75">
      <c r="A45" s="166">
        <f t="shared" si="3"/>
        <v>43</v>
      </c>
      <c r="B45" s="94" t="s">
        <v>2079</v>
      </c>
      <c r="C45" s="95">
        <v>3</v>
      </c>
      <c r="D45" s="95">
        <v>2</v>
      </c>
      <c r="E45" s="457" t="s">
        <v>183</v>
      </c>
      <c r="F45" s="95" t="s">
        <v>780</v>
      </c>
      <c r="G45" s="95" t="s">
        <v>174</v>
      </c>
      <c r="H45" s="95" t="s">
        <v>859</v>
      </c>
      <c r="I45" s="95" t="s">
        <v>888</v>
      </c>
      <c r="J45" s="97" t="s">
        <v>1534</v>
      </c>
      <c r="K45" s="166">
        <f t="shared" si="0"/>
        <v>43</v>
      </c>
      <c r="L45" s="94" t="s">
        <v>1891</v>
      </c>
      <c r="M45" s="95">
        <v>4</v>
      </c>
      <c r="N45" s="95">
        <v>1</v>
      </c>
      <c r="O45" s="457" t="s">
        <v>527</v>
      </c>
      <c r="P45" s="95" t="s">
        <v>780</v>
      </c>
      <c r="Q45" s="95" t="s">
        <v>174</v>
      </c>
      <c r="R45" s="96" t="s">
        <v>1892</v>
      </c>
      <c r="S45" s="95" t="s">
        <v>888</v>
      </c>
      <c r="T45" s="97" t="s">
        <v>1562</v>
      </c>
      <c r="U45" s="166">
        <f t="shared" si="1"/>
        <v>43</v>
      </c>
      <c r="V45" s="500" t="s">
        <v>380</v>
      </c>
      <c r="W45" s="95">
        <v>4</v>
      </c>
      <c r="X45" s="95">
        <v>3</v>
      </c>
      <c r="Y45" s="456" t="s">
        <v>381</v>
      </c>
      <c r="Z45" s="95" t="s">
        <v>780</v>
      </c>
      <c r="AA45" s="95" t="s">
        <v>205</v>
      </c>
      <c r="AB45" s="96" t="s">
        <v>858</v>
      </c>
      <c r="AC45" s="96" t="s">
        <v>887</v>
      </c>
      <c r="AD45" s="543" t="s">
        <v>1585</v>
      </c>
      <c r="AE45" s="95">
        <f t="shared" si="2"/>
        <v>43</v>
      </c>
      <c r="AF45" s="94" t="s">
        <v>2306</v>
      </c>
      <c r="AG45" s="95">
        <v>4</v>
      </c>
      <c r="AH45" s="95">
        <v>2</v>
      </c>
      <c r="AI45" s="457" t="s">
        <v>377</v>
      </c>
      <c r="AJ45" s="95" t="s">
        <v>2093</v>
      </c>
      <c r="AK45" s="95" t="s">
        <v>197</v>
      </c>
      <c r="AL45" s="95" t="s">
        <v>858</v>
      </c>
      <c r="AM45" s="95" t="s">
        <v>1132</v>
      </c>
      <c r="AN45" s="97" t="s">
        <v>1609</v>
      </c>
    </row>
    <row r="46" spans="1:40" ht="12.75">
      <c r="A46" s="166">
        <f t="shared" si="3"/>
        <v>44</v>
      </c>
      <c r="B46" s="94" t="s">
        <v>2083</v>
      </c>
      <c r="C46" s="95">
        <v>3</v>
      </c>
      <c r="D46" s="95">
        <v>2</v>
      </c>
      <c r="E46" s="457" t="s">
        <v>360</v>
      </c>
      <c r="F46" s="95">
        <v>6</v>
      </c>
      <c r="G46" s="95" t="s">
        <v>205</v>
      </c>
      <c r="H46" s="95" t="s">
        <v>2084</v>
      </c>
      <c r="I46" s="95" t="s">
        <v>889</v>
      </c>
      <c r="J46" s="97" t="s">
        <v>1534</v>
      </c>
      <c r="K46" s="166">
        <f t="shared" si="0"/>
        <v>44</v>
      </c>
      <c r="L46" s="94" t="s">
        <v>349</v>
      </c>
      <c r="M46" s="95">
        <v>4</v>
      </c>
      <c r="N46" s="95">
        <v>3</v>
      </c>
      <c r="O46" s="456" t="s">
        <v>299</v>
      </c>
      <c r="P46" s="95" t="s">
        <v>780</v>
      </c>
      <c r="Q46" s="95" t="s">
        <v>174</v>
      </c>
      <c r="R46" s="96" t="s">
        <v>2394</v>
      </c>
      <c r="S46" s="95" t="s">
        <v>1745</v>
      </c>
      <c r="T46" s="97" t="s">
        <v>1561</v>
      </c>
      <c r="U46" s="166">
        <f t="shared" si="1"/>
        <v>44</v>
      </c>
      <c r="V46" s="500" t="s">
        <v>2209</v>
      </c>
      <c r="W46" s="95">
        <v>4</v>
      </c>
      <c r="X46" s="95">
        <v>2</v>
      </c>
      <c r="Y46" s="457" t="s">
        <v>527</v>
      </c>
      <c r="Z46" s="95" t="s">
        <v>780</v>
      </c>
      <c r="AA46" s="95" t="s">
        <v>205</v>
      </c>
      <c r="AB46" s="95" t="s">
        <v>858</v>
      </c>
      <c r="AC46" s="95" t="s">
        <v>894</v>
      </c>
      <c r="AD46" s="543" t="s">
        <v>1584</v>
      </c>
      <c r="AE46" s="95">
        <f t="shared" si="2"/>
        <v>44</v>
      </c>
      <c r="AF46" s="94" t="s">
        <v>2307</v>
      </c>
      <c r="AG46" s="95">
        <v>4</v>
      </c>
      <c r="AH46" s="95">
        <v>1</v>
      </c>
      <c r="AI46" s="457" t="s">
        <v>377</v>
      </c>
      <c r="AJ46" s="95" t="s">
        <v>780</v>
      </c>
      <c r="AK46" s="95" t="s">
        <v>174</v>
      </c>
      <c r="AL46" s="95" t="s">
        <v>867</v>
      </c>
      <c r="AM46" s="95" t="s">
        <v>888</v>
      </c>
      <c r="AN46" s="97" t="s">
        <v>1609</v>
      </c>
    </row>
    <row r="47" spans="1:40" ht="12.75">
      <c r="A47" s="166">
        <f t="shared" si="3"/>
        <v>45</v>
      </c>
      <c r="B47" s="94" t="s">
        <v>2085</v>
      </c>
      <c r="C47" s="95">
        <v>3</v>
      </c>
      <c r="D47" s="95">
        <v>1</v>
      </c>
      <c r="E47" s="457" t="s">
        <v>183</v>
      </c>
      <c r="F47" s="95">
        <v>8</v>
      </c>
      <c r="G47" s="95" t="s">
        <v>1862</v>
      </c>
      <c r="H47" s="95" t="s">
        <v>2086</v>
      </c>
      <c r="I47" s="95" t="s">
        <v>888</v>
      </c>
      <c r="J47" s="97" t="s">
        <v>1536</v>
      </c>
      <c r="K47" s="166">
        <f t="shared" si="0"/>
        <v>45</v>
      </c>
      <c r="L47" s="94" t="s">
        <v>355</v>
      </c>
      <c r="M47" s="95">
        <v>4</v>
      </c>
      <c r="N47" s="95">
        <v>1</v>
      </c>
      <c r="O47" s="456" t="s">
        <v>299</v>
      </c>
      <c r="P47" s="95" t="s">
        <v>780</v>
      </c>
      <c r="Q47" s="95" t="s">
        <v>323</v>
      </c>
      <c r="R47" s="96" t="s">
        <v>860</v>
      </c>
      <c r="S47" s="96" t="s">
        <v>1135</v>
      </c>
      <c r="T47" s="97" t="s">
        <v>1561</v>
      </c>
      <c r="U47" s="166">
        <f t="shared" si="1"/>
        <v>45</v>
      </c>
      <c r="V47" s="500" t="s">
        <v>2210</v>
      </c>
      <c r="W47" s="95">
        <v>4</v>
      </c>
      <c r="X47" s="95">
        <v>1</v>
      </c>
      <c r="Y47" s="457" t="s">
        <v>313</v>
      </c>
      <c r="Z47" s="95" t="s">
        <v>780</v>
      </c>
      <c r="AA47" s="95" t="s">
        <v>174</v>
      </c>
      <c r="AB47" s="96" t="s">
        <v>2211</v>
      </c>
      <c r="AC47" s="95" t="s">
        <v>888</v>
      </c>
      <c r="AD47" s="543" t="s">
        <v>1584</v>
      </c>
      <c r="AE47" s="95">
        <f t="shared" si="2"/>
        <v>45</v>
      </c>
      <c r="AF47" s="94" t="s">
        <v>382</v>
      </c>
      <c r="AG47" s="95">
        <v>4</v>
      </c>
      <c r="AH47" s="95">
        <v>3</v>
      </c>
      <c r="AI47" s="456" t="s">
        <v>290</v>
      </c>
      <c r="AJ47" s="95" t="s">
        <v>780</v>
      </c>
      <c r="AK47" s="95" t="s">
        <v>174</v>
      </c>
      <c r="AL47" s="96" t="s">
        <v>861</v>
      </c>
      <c r="AM47" s="96" t="s">
        <v>888</v>
      </c>
      <c r="AN47" s="97" t="s">
        <v>1608</v>
      </c>
    </row>
    <row r="48" spans="1:40" ht="12.75">
      <c r="A48" s="166">
        <f t="shared" si="3"/>
        <v>46</v>
      </c>
      <c r="B48" s="94" t="s">
        <v>361</v>
      </c>
      <c r="C48" s="95">
        <v>3</v>
      </c>
      <c r="D48" s="95">
        <v>2</v>
      </c>
      <c r="E48" s="456" t="s">
        <v>299</v>
      </c>
      <c r="F48" s="95" t="s">
        <v>780</v>
      </c>
      <c r="G48" s="95" t="s">
        <v>220</v>
      </c>
      <c r="H48" s="95" t="s">
        <v>864</v>
      </c>
      <c r="I48" s="96" t="s">
        <v>887</v>
      </c>
      <c r="J48" s="97" t="s">
        <v>1535</v>
      </c>
      <c r="K48" s="166">
        <f t="shared" si="0"/>
        <v>46</v>
      </c>
      <c r="L48" s="94" t="s">
        <v>1893</v>
      </c>
      <c r="M48" s="95">
        <v>4</v>
      </c>
      <c r="N48" s="95">
        <v>2</v>
      </c>
      <c r="O48" s="457" t="s">
        <v>527</v>
      </c>
      <c r="P48" s="95" t="s">
        <v>780</v>
      </c>
      <c r="Q48" s="95" t="s">
        <v>174</v>
      </c>
      <c r="R48" s="95" t="s">
        <v>1861</v>
      </c>
      <c r="S48" s="95" t="s">
        <v>1142</v>
      </c>
      <c r="T48" s="97" t="s">
        <v>1562</v>
      </c>
      <c r="U48" s="166">
        <f t="shared" si="1"/>
        <v>46</v>
      </c>
      <c r="V48" s="500" t="s">
        <v>2212</v>
      </c>
      <c r="W48" s="95">
        <v>4</v>
      </c>
      <c r="X48" s="95">
        <v>2</v>
      </c>
      <c r="Y48" s="457" t="s">
        <v>313</v>
      </c>
      <c r="Z48" s="95" t="s">
        <v>780</v>
      </c>
      <c r="AA48" s="95" t="s">
        <v>220</v>
      </c>
      <c r="AB48" s="95" t="s">
        <v>2213</v>
      </c>
      <c r="AC48" s="95" t="s">
        <v>887</v>
      </c>
      <c r="AD48" s="543" t="s">
        <v>1584</v>
      </c>
      <c r="AE48" s="95">
        <f t="shared" si="2"/>
        <v>46</v>
      </c>
      <c r="AF48" s="94" t="s">
        <v>388</v>
      </c>
      <c r="AG48" s="95">
        <v>4</v>
      </c>
      <c r="AH48" s="95">
        <v>1</v>
      </c>
      <c r="AI48" s="456" t="s">
        <v>389</v>
      </c>
      <c r="AJ48" s="95" t="s">
        <v>780</v>
      </c>
      <c r="AK48" s="95" t="s">
        <v>174</v>
      </c>
      <c r="AL48" s="96" t="s">
        <v>861</v>
      </c>
      <c r="AM48" s="95" t="s">
        <v>892</v>
      </c>
      <c r="AN48" s="97" t="s">
        <v>1610</v>
      </c>
    </row>
    <row r="49" spans="1:40" ht="12.75">
      <c r="A49" s="166">
        <f t="shared" si="3"/>
        <v>47</v>
      </c>
      <c r="B49" s="94" t="s">
        <v>2087</v>
      </c>
      <c r="C49" s="95">
        <v>3</v>
      </c>
      <c r="D49" s="95">
        <v>1</v>
      </c>
      <c r="E49" s="457" t="s">
        <v>326</v>
      </c>
      <c r="F49" s="95" t="s">
        <v>780</v>
      </c>
      <c r="G49" s="95" t="s">
        <v>220</v>
      </c>
      <c r="H49" s="95" t="s">
        <v>858</v>
      </c>
      <c r="I49" s="95" t="s">
        <v>894</v>
      </c>
      <c r="J49" s="97" t="s">
        <v>1536</v>
      </c>
      <c r="K49" s="166">
        <f t="shared" si="0"/>
        <v>47</v>
      </c>
      <c r="L49" s="94" t="s">
        <v>362</v>
      </c>
      <c r="M49" s="95">
        <v>4</v>
      </c>
      <c r="N49" s="95">
        <v>3</v>
      </c>
      <c r="O49" s="456" t="s">
        <v>313</v>
      </c>
      <c r="P49" s="95" t="s">
        <v>780</v>
      </c>
      <c r="Q49" s="95" t="s">
        <v>185</v>
      </c>
      <c r="R49" s="95" t="s">
        <v>860</v>
      </c>
      <c r="S49" s="96" t="s">
        <v>1125</v>
      </c>
      <c r="T49" s="97" t="s">
        <v>1561</v>
      </c>
      <c r="U49" s="166">
        <f t="shared" si="1"/>
        <v>47</v>
      </c>
      <c r="V49" s="500" t="s">
        <v>385</v>
      </c>
      <c r="W49" s="95">
        <v>4</v>
      </c>
      <c r="X49" s="95">
        <v>3</v>
      </c>
      <c r="Y49" s="456" t="s">
        <v>387</v>
      </c>
      <c r="Z49" s="95" t="s">
        <v>780</v>
      </c>
      <c r="AA49" s="95" t="s">
        <v>174</v>
      </c>
      <c r="AB49" s="96" t="s">
        <v>386</v>
      </c>
      <c r="AC49" s="95" t="s">
        <v>1141</v>
      </c>
      <c r="AD49" s="543" t="s">
        <v>1585</v>
      </c>
      <c r="AE49" s="95">
        <f t="shared" si="2"/>
        <v>47</v>
      </c>
      <c r="AF49" s="94" t="s">
        <v>394</v>
      </c>
      <c r="AG49" s="95">
        <v>4</v>
      </c>
      <c r="AH49" s="95">
        <v>1</v>
      </c>
      <c r="AI49" s="456" t="s">
        <v>395</v>
      </c>
      <c r="AJ49" s="95" t="s">
        <v>780</v>
      </c>
      <c r="AK49" s="95" t="s">
        <v>286</v>
      </c>
      <c r="AL49" s="96" t="s">
        <v>863</v>
      </c>
      <c r="AM49" s="95" t="s">
        <v>895</v>
      </c>
      <c r="AN49" s="97" t="s">
        <v>1610</v>
      </c>
    </row>
    <row r="50" spans="1:40" ht="12.75">
      <c r="A50" s="166">
        <f t="shared" si="3"/>
        <v>48</v>
      </c>
      <c r="B50" s="94" t="s">
        <v>368</v>
      </c>
      <c r="C50" s="95">
        <v>4</v>
      </c>
      <c r="D50" s="95">
        <v>1</v>
      </c>
      <c r="E50" s="456" t="s">
        <v>369</v>
      </c>
      <c r="F50" s="95" t="s">
        <v>780</v>
      </c>
      <c r="G50" s="95" t="s">
        <v>185</v>
      </c>
      <c r="H50" s="96" t="s">
        <v>866</v>
      </c>
      <c r="I50" s="95" t="s">
        <v>888</v>
      </c>
      <c r="J50" s="97" t="s">
        <v>1537</v>
      </c>
      <c r="K50" s="166">
        <f t="shared" si="0"/>
        <v>48</v>
      </c>
      <c r="L50" s="94" t="s">
        <v>1895</v>
      </c>
      <c r="M50" s="95">
        <v>4</v>
      </c>
      <c r="N50" s="95">
        <v>1</v>
      </c>
      <c r="O50" s="457" t="s">
        <v>486</v>
      </c>
      <c r="P50" s="95" t="s">
        <v>780</v>
      </c>
      <c r="Q50" s="95" t="s">
        <v>174</v>
      </c>
      <c r="R50" s="96" t="s">
        <v>1894</v>
      </c>
      <c r="S50" s="95" t="s">
        <v>1130</v>
      </c>
      <c r="T50" s="97" t="s">
        <v>1562</v>
      </c>
      <c r="U50" s="166">
        <f t="shared" si="1"/>
        <v>48</v>
      </c>
      <c r="V50" s="500" t="s">
        <v>393</v>
      </c>
      <c r="W50" s="95">
        <v>4</v>
      </c>
      <c r="X50" s="95">
        <v>1</v>
      </c>
      <c r="Y50" s="456" t="s">
        <v>381</v>
      </c>
      <c r="Z50" s="95" t="s">
        <v>780</v>
      </c>
      <c r="AA50" s="95" t="s">
        <v>174</v>
      </c>
      <c r="AB50" s="96" t="s">
        <v>866</v>
      </c>
      <c r="AC50" s="95" t="s">
        <v>1137</v>
      </c>
      <c r="AD50" s="543" t="s">
        <v>1585</v>
      </c>
      <c r="AE50" s="95">
        <f t="shared" si="2"/>
        <v>48</v>
      </c>
      <c r="AF50" s="94" t="s">
        <v>2308</v>
      </c>
      <c r="AG50" s="95">
        <v>4</v>
      </c>
      <c r="AH50" s="95">
        <v>2</v>
      </c>
      <c r="AI50" s="457" t="s">
        <v>377</v>
      </c>
      <c r="AJ50" s="95" t="s">
        <v>780</v>
      </c>
      <c r="AK50" s="95" t="s">
        <v>174</v>
      </c>
      <c r="AL50" s="95" t="s">
        <v>862</v>
      </c>
      <c r="AM50" s="95" t="s">
        <v>889</v>
      </c>
      <c r="AN50" s="97" t="s">
        <v>1611</v>
      </c>
    </row>
    <row r="51" spans="1:40" ht="12.75">
      <c r="A51" s="166">
        <f t="shared" si="3"/>
        <v>49</v>
      </c>
      <c r="B51" s="94" t="s">
        <v>376</v>
      </c>
      <c r="C51" s="95">
        <v>4</v>
      </c>
      <c r="D51" s="95">
        <v>2</v>
      </c>
      <c r="E51" s="456" t="s">
        <v>377</v>
      </c>
      <c r="F51" s="95" t="s">
        <v>780</v>
      </c>
      <c r="G51" s="95" t="s">
        <v>323</v>
      </c>
      <c r="H51" s="96" t="s">
        <v>862</v>
      </c>
      <c r="I51" s="96" t="s">
        <v>896</v>
      </c>
      <c r="J51" s="97" t="s">
        <v>1537</v>
      </c>
      <c r="K51" s="166">
        <f t="shared" si="0"/>
        <v>49</v>
      </c>
      <c r="L51" s="94" t="s">
        <v>1896</v>
      </c>
      <c r="M51" s="95">
        <v>4</v>
      </c>
      <c r="N51" s="95">
        <v>3</v>
      </c>
      <c r="O51" s="457" t="s">
        <v>377</v>
      </c>
      <c r="P51" s="95" t="s">
        <v>780</v>
      </c>
      <c r="Q51" s="95" t="s">
        <v>174</v>
      </c>
      <c r="R51" s="95" t="s">
        <v>1897</v>
      </c>
      <c r="S51" s="95" t="s">
        <v>1136</v>
      </c>
      <c r="T51" s="97" t="s">
        <v>1562</v>
      </c>
      <c r="U51" s="166">
        <f t="shared" si="1"/>
        <v>49</v>
      </c>
      <c r="V51" s="98" t="s">
        <v>399</v>
      </c>
      <c r="W51" s="95">
        <v>4</v>
      </c>
      <c r="X51" s="95">
        <v>1</v>
      </c>
      <c r="Y51" s="456" t="s">
        <v>381</v>
      </c>
      <c r="Z51" s="95" t="s">
        <v>780</v>
      </c>
      <c r="AA51" s="95" t="s">
        <v>323</v>
      </c>
      <c r="AB51" s="95" t="s">
        <v>400</v>
      </c>
      <c r="AC51" s="95" t="s">
        <v>1139</v>
      </c>
      <c r="AD51" s="543" t="s">
        <v>1585</v>
      </c>
      <c r="AE51" s="95">
        <f t="shared" si="2"/>
        <v>49</v>
      </c>
      <c r="AF51" s="98" t="s">
        <v>401</v>
      </c>
      <c r="AG51" s="95">
        <v>5</v>
      </c>
      <c r="AH51" s="95" t="s">
        <v>178</v>
      </c>
      <c r="AI51" s="456" t="s">
        <v>228</v>
      </c>
      <c r="AJ51" s="95" t="s">
        <v>780</v>
      </c>
      <c r="AK51" s="95" t="s">
        <v>216</v>
      </c>
      <c r="AL51" s="95" t="s">
        <v>859</v>
      </c>
      <c r="AM51" s="95" t="s">
        <v>890</v>
      </c>
      <c r="AN51" s="97" t="s">
        <v>1610</v>
      </c>
    </row>
    <row r="52" spans="1:40" ht="12.75">
      <c r="A52" s="166">
        <f t="shared" si="3"/>
        <v>50</v>
      </c>
      <c r="B52" s="94" t="s">
        <v>2089</v>
      </c>
      <c r="C52" s="95">
        <v>4</v>
      </c>
      <c r="D52" s="95">
        <v>2</v>
      </c>
      <c r="E52" s="457" t="s">
        <v>527</v>
      </c>
      <c r="F52" s="95" t="s">
        <v>780</v>
      </c>
      <c r="G52" s="95" t="s">
        <v>220</v>
      </c>
      <c r="H52" s="95" t="s">
        <v>2088</v>
      </c>
      <c r="I52" s="95" t="s">
        <v>1142</v>
      </c>
      <c r="J52" s="97" t="s">
        <v>1536</v>
      </c>
      <c r="K52" s="166">
        <f t="shared" si="0"/>
        <v>50</v>
      </c>
      <c r="L52" s="94" t="s">
        <v>370</v>
      </c>
      <c r="M52" s="95">
        <v>4</v>
      </c>
      <c r="N52" s="95">
        <v>3</v>
      </c>
      <c r="O52" s="456" t="s">
        <v>371</v>
      </c>
      <c r="P52" s="95" t="s">
        <v>780</v>
      </c>
      <c r="Q52" s="95" t="s">
        <v>194</v>
      </c>
      <c r="R52" s="96" t="s">
        <v>859</v>
      </c>
      <c r="S52" s="95" t="s">
        <v>1128</v>
      </c>
      <c r="T52" s="97" t="s">
        <v>1561</v>
      </c>
      <c r="U52" s="166">
        <f t="shared" si="1"/>
        <v>50</v>
      </c>
      <c r="V52" s="500" t="s">
        <v>408</v>
      </c>
      <c r="W52" s="95">
        <v>5</v>
      </c>
      <c r="X52" s="95">
        <v>3</v>
      </c>
      <c r="Y52" s="456" t="s">
        <v>409</v>
      </c>
      <c r="Z52" s="95" t="s">
        <v>780</v>
      </c>
      <c r="AA52" s="95" t="s">
        <v>182</v>
      </c>
      <c r="AB52" s="95" t="s">
        <v>859</v>
      </c>
      <c r="AC52" s="95" t="s">
        <v>1745</v>
      </c>
      <c r="AD52" s="543" t="s">
        <v>1585</v>
      </c>
      <c r="AE52" s="95">
        <f t="shared" si="2"/>
        <v>50</v>
      </c>
      <c r="AF52" s="94" t="s">
        <v>2309</v>
      </c>
      <c r="AG52" s="95">
        <v>5</v>
      </c>
      <c r="AH52" s="95">
        <v>2</v>
      </c>
      <c r="AI52" s="457" t="s">
        <v>404</v>
      </c>
      <c r="AJ52" s="95" t="s">
        <v>780</v>
      </c>
      <c r="AK52" s="95" t="s">
        <v>174</v>
      </c>
      <c r="AL52" s="96" t="s">
        <v>2310</v>
      </c>
      <c r="AM52" s="95" t="s">
        <v>1130</v>
      </c>
      <c r="AN52" s="97" t="s">
        <v>1611</v>
      </c>
    </row>
    <row r="53" spans="1:40" ht="12.75">
      <c r="A53" s="166">
        <f t="shared" si="3"/>
        <v>51</v>
      </c>
      <c r="B53" s="94" t="s">
        <v>2090</v>
      </c>
      <c r="C53" s="95">
        <v>4</v>
      </c>
      <c r="D53" s="95">
        <v>1</v>
      </c>
      <c r="E53" s="457" t="s">
        <v>527</v>
      </c>
      <c r="F53" s="95">
        <v>4</v>
      </c>
      <c r="G53" s="95" t="s">
        <v>2091</v>
      </c>
      <c r="H53" s="95" t="s">
        <v>858</v>
      </c>
      <c r="I53" s="95" t="s">
        <v>894</v>
      </c>
      <c r="J53" s="97" t="s">
        <v>1536</v>
      </c>
      <c r="K53" s="166">
        <f t="shared" si="0"/>
        <v>51</v>
      </c>
      <c r="L53" s="94" t="s">
        <v>1898</v>
      </c>
      <c r="M53" s="95">
        <v>4</v>
      </c>
      <c r="N53" s="95">
        <v>2</v>
      </c>
      <c r="O53" s="457" t="s">
        <v>377</v>
      </c>
      <c r="P53" s="95" t="s">
        <v>780</v>
      </c>
      <c r="Q53" s="95" t="s">
        <v>1862</v>
      </c>
      <c r="R53" s="95" t="s">
        <v>860</v>
      </c>
      <c r="S53" s="95" t="s">
        <v>1128</v>
      </c>
      <c r="T53" s="97" t="s">
        <v>1563</v>
      </c>
      <c r="U53" s="166">
        <f t="shared" si="1"/>
        <v>51</v>
      </c>
      <c r="V53" s="500" t="s">
        <v>416</v>
      </c>
      <c r="W53" s="95">
        <v>5</v>
      </c>
      <c r="X53" s="95">
        <v>3</v>
      </c>
      <c r="Y53" s="456" t="s">
        <v>417</v>
      </c>
      <c r="Z53" s="95" t="s">
        <v>780</v>
      </c>
      <c r="AA53" s="95" t="s">
        <v>194</v>
      </c>
      <c r="AB53" s="96" t="s">
        <v>858</v>
      </c>
      <c r="AC53" s="95" t="s">
        <v>1125</v>
      </c>
      <c r="AD53" s="543" t="s">
        <v>1586</v>
      </c>
      <c r="AE53" s="95">
        <f t="shared" si="2"/>
        <v>51</v>
      </c>
      <c r="AF53" s="94" t="s">
        <v>2311</v>
      </c>
      <c r="AG53" s="95">
        <v>5</v>
      </c>
      <c r="AH53" s="95">
        <v>2</v>
      </c>
      <c r="AI53" s="457" t="s">
        <v>404</v>
      </c>
      <c r="AJ53" s="95" t="s">
        <v>780</v>
      </c>
      <c r="AK53" s="95" t="s">
        <v>205</v>
      </c>
      <c r="AL53" s="95" t="s">
        <v>859</v>
      </c>
      <c r="AM53" s="95" t="s">
        <v>892</v>
      </c>
      <c r="AN53" s="97" t="s">
        <v>1611</v>
      </c>
    </row>
    <row r="54" spans="1:40" ht="12.75">
      <c r="A54" s="166">
        <f t="shared" si="3"/>
        <v>52</v>
      </c>
      <c r="B54" s="94" t="s">
        <v>2092</v>
      </c>
      <c r="C54" s="95">
        <v>4</v>
      </c>
      <c r="D54" s="95">
        <v>2</v>
      </c>
      <c r="E54" s="457" t="s">
        <v>453</v>
      </c>
      <c r="F54" s="95" t="s">
        <v>2093</v>
      </c>
      <c r="G54" s="95" t="s">
        <v>182</v>
      </c>
      <c r="H54" s="95" t="s">
        <v>860</v>
      </c>
      <c r="I54" s="95" t="s">
        <v>895</v>
      </c>
      <c r="J54" s="97" t="s">
        <v>1536</v>
      </c>
      <c r="K54" s="166">
        <f t="shared" si="0"/>
        <v>52</v>
      </c>
      <c r="L54" s="94" t="s">
        <v>378</v>
      </c>
      <c r="M54" s="95">
        <v>4</v>
      </c>
      <c r="N54" s="95">
        <v>2</v>
      </c>
      <c r="O54" s="456" t="s">
        <v>299</v>
      </c>
      <c r="P54" s="95" t="s">
        <v>780</v>
      </c>
      <c r="Q54" s="95" t="s">
        <v>265</v>
      </c>
      <c r="R54" s="96" t="s">
        <v>379</v>
      </c>
      <c r="S54" s="96" t="s">
        <v>1132</v>
      </c>
      <c r="T54" s="97" t="s">
        <v>1561</v>
      </c>
      <c r="U54" s="166">
        <f t="shared" si="1"/>
        <v>52</v>
      </c>
      <c r="V54" s="500" t="s">
        <v>2214</v>
      </c>
      <c r="W54" s="95">
        <v>5</v>
      </c>
      <c r="X54" s="95" t="s">
        <v>2215</v>
      </c>
      <c r="Y54" s="457" t="s">
        <v>434</v>
      </c>
      <c r="Z54" s="95">
        <v>8</v>
      </c>
      <c r="AA54" s="95" t="s">
        <v>1862</v>
      </c>
      <c r="AB54" s="95" t="s">
        <v>1859</v>
      </c>
      <c r="AC54" s="95" t="s">
        <v>1128</v>
      </c>
      <c r="AD54" s="543" t="s">
        <v>1587</v>
      </c>
      <c r="AE54" s="95">
        <f t="shared" si="2"/>
        <v>52</v>
      </c>
      <c r="AF54" s="94" t="s">
        <v>410</v>
      </c>
      <c r="AG54" s="95">
        <v>5</v>
      </c>
      <c r="AH54" s="95">
        <v>2</v>
      </c>
      <c r="AI54" s="456" t="s">
        <v>381</v>
      </c>
      <c r="AJ54" s="95" t="s">
        <v>780</v>
      </c>
      <c r="AK54" s="95" t="s">
        <v>174</v>
      </c>
      <c r="AL54" s="95" t="s">
        <v>411</v>
      </c>
      <c r="AM54" s="95" t="s">
        <v>1128</v>
      </c>
      <c r="AN54" s="97" t="s">
        <v>1610</v>
      </c>
    </row>
    <row r="55" spans="1:40" ht="12.75">
      <c r="A55" s="166">
        <f t="shared" si="3"/>
        <v>53</v>
      </c>
      <c r="B55" s="94" t="s">
        <v>383</v>
      </c>
      <c r="C55" s="95">
        <v>4</v>
      </c>
      <c r="D55" s="95">
        <v>1</v>
      </c>
      <c r="E55" s="456" t="s">
        <v>308</v>
      </c>
      <c r="F55" s="95" t="s">
        <v>780</v>
      </c>
      <c r="G55" s="95" t="s">
        <v>205</v>
      </c>
      <c r="H55" s="96" t="s">
        <v>863</v>
      </c>
      <c r="I55" s="95" t="s">
        <v>1149</v>
      </c>
      <c r="J55" s="97" t="s">
        <v>1537</v>
      </c>
      <c r="K55" s="166">
        <f t="shared" si="0"/>
        <v>53</v>
      </c>
      <c r="L55" s="94" t="s">
        <v>1899</v>
      </c>
      <c r="M55" s="95">
        <v>4</v>
      </c>
      <c r="N55" s="95">
        <v>5</v>
      </c>
      <c r="O55" s="457" t="s">
        <v>377</v>
      </c>
      <c r="P55" s="95" t="s">
        <v>780</v>
      </c>
      <c r="Q55" s="95" t="s">
        <v>224</v>
      </c>
      <c r="R55" s="96" t="s">
        <v>1863</v>
      </c>
      <c r="S55" s="95" t="s">
        <v>1136</v>
      </c>
      <c r="T55" s="97" t="s">
        <v>1563</v>
      </c>
      <c r="U55" s="166">
        <f t="shared" si="1"/>
        <v>53</v>
      </c>
      <c r="V55" s="500" t="s">
        <v>2216</v>
      </c>
      <c r="W55" s="95">
        <v>5</v>
      </c>
      <c r="X55" s="95">
        <v>2</v>
      </c>
      <c r="Y55" s="457" t="s">
        <v>404</v>
      </c>
      <c r="Z55" s="95">
        <v>6</v>
      </c>
      <c r="AA55" s="95" t="s">
        <v>220</v>
      </c>
      <c r="AB55" s="95" t="s">
        <v>862</v>
      </c>
      <c r="AC55" s="95" t="s">
        <v>891</v>
      </c>
      <c r="AD55" s="543" t="s">
        <v>1587</v>
      </c>
      <c r="AE55" s="95">
        <f t="shared" si="2"/>
        <v>53</v>
      </c>
      <c r="AF55" s="94" t="s">
        <v>418</v>
      </c>
      <c r="AG55" s="95">
        <v>5</v>
      </c>
      <c r="AH55" s="95">
        <v>1</v>
      </c>
      <c r="AI55" s="456" t="s">
        <v>420</v>
      </c>
      <c r="AJ55" s="95" t="s">
        <v>780</v>
      </c>
      <c r="AK55" s="95" t="s">
        <v>174</v>
      </c>
      <c r="AL55" s="96" t="s">
        <v>419</v>
      </c>
      <c r="AM55" s="95" t="s">
        <v>1129</v>
      </c>
      <c r="AN55" s="97" t="s">
        <v>1610</v>
      </c>
    </row>
    <row r="56" spans="1:40" ht="12.75">
      <c r="A56" s="166">
        <f t="shared" si="3"/>
        <v>54</v>
      </c>
      <c r="B56" s="94" t="s">
        <v>390</v>
      </c>
      <c r="C56" s="95">
        <v>4</v>
      </c>
      <c r="D56" s="95" t="s">
        <v>178</v>
      </c>
      <c r="E56" s="456" t="s">
        <v>391</v>
      </c>
      <c r="F56" s="95" t="s">
        <v>780</v>
      </c>
      <c r="G56" s="95" t="s">
        <v>174</v>
      </c>
      <c r="H56" s="96" t="s">
        <v>863</v>
      </c>
      <c r="I56" s="95" t="s">
        <v>892</v>
      </c>
      <c r="J56" s="97" t="s">
        <v>1537</v>
      </c>
      <c r="K56" s="166">
        <f t="shared" si="0"/>
        <v>54</v>
      </c>
      <c r="L56" s="94" t="s">
        <v>384</v>
      </c>
      <c r="M56" s="95">
        <v>4</v>
      </c>
      <c r="N56" s="95" t="s">
        <v>178</v>
      </c>
      <c r="O56" s="456" t="s">
        <v>242</v>
      </c>
      <c r="P56" s="95" t="s">
        <v>780</v>
      </c>
      <c r="Q56" s="95" t="s">
        <v>185</v>
      </c>
      <c r="R56" s="96" t="s">
        <v>863</v>
      </c>
      <c r="S56" s="95" t="s">
        <v>1132</v>
      </c>
      <c r="T56" s="97" t="s">
        <v>1564</v>
      </c>
      <c r="U56" s="166">
        <f t="shared" si="1"/>
        <v>54</v>
      </c>
      <c r="V56" s="500" t="s">
        <v>2217</v>
      </c>
      <c r="W56" s="95">
        <v>5</v>
      </c>
      <c r="X56" s="95">
        <v>3</v>
      </c>
      <c r="Y56" s="457" t="s">
        <v>2218</v>
      </c>
      <c r="Z56" s="95" t="s">
        <v>780</v>
      </c>
      <c r="AA56" s="95" t="s">
        <v>224</v>
      </c>
      <c r="AB56" s="95" t="s">
        <v>862</v>
      </c>
      <c r="AC56" s="95" t="s">
        <v>894</v>
      </c>
      <c r="AD56" s="543" t="s">
        <v>1587</v>
      </c>
      <c r="AE56" s="95">
        <f t="shared" si="2"/>
        <v>54</v>
      </c>
      <c r="AF56" s="94" t="s">
        <v>424</v>
      </c>
      <c r="AG56" s="95">
        <v>5</v>
      </c>
      <c r="AH56" s="95">
        <v>1</v>
      </c>
      <c r="AI56" s="456" t="s">
        <v>334</v>
      </c>
      <c r="AJ56" s="95" t="s">
        <v>780</v>
      </c>
      <c r="AK56" s="95" t="s">
        <v>174</v>
      </c>
      <c r="AL56" s="95" t="s">
        <v>858</v>
      </c>
      <c r="AM56" s="96" t="s">
        <v>1130</v>
      </c>
      <c r="AN56" s="97" t="s">
        <v>1610</v>
      </c>
    </row>
    <row r="57" spans="1:40" ht="12.75">
      <c r="A57" s="166">
        <f t="shared" si="3"/>
        <v>55</v>
      </c>
      <c r="B57" s="94" t="s">
        <v>1540</v>
      </c>
      <c r="C57" s="95">
        <v>4</v>
      </c>
      <c r="D57" s="95">
        <v>3</v>
      </c>
      <c r="E57" s="457" t="s">
        <v>377</v>
      </c>
      <c r="F57" s="95" t="s">
        <v>780</v>
      </c>
      <c r="G57" s="95" t="s">
        <v>220</v>
      </c>
      <c r="H57" s="95" t="s">
        <v>861</v>
      </c>
      <c r="I57" s="95" t="s">
        <v>896</v>
      </c>
      <c r="J57" s="97" t="s">
        <v>1538</v>
      </c>
      <c r="K57" s="166">
        <f t="shared" si="0"/>
        <v>55</v>
      </c>
      <c r="L57" s="94" t="s">
        <v>1900</v>
      </c>
      <c r="M57" s="95">
        <v>4</v>
      </c>
      <c r="N57" s="95">
        <v>1</v>
      </c>
      <c r="O57" s="457" t="s">
        <v>527</v>
      </c>
      <c r="P57" s="95" t="s">
        <v>780</v>
      </c>
      <c r="Q57" s="95" t="s">
        <v>224</v>
      </c>
      <c r="R57" s="95" t="s">
        <v>858</v>
      </c>
      <c r="S57" s="95" t="s">
        <v>891</v>
      </c>
      <c r="T57" s="97" t="s">
        <v>1563</v>
      </c>
      <c r="U57" s="166">
        <f t="shared" si="1"/>
        <v>55</v>
      </c>
      <c r="V57" s="500" t="s">
        <v>423</v>
      </c>
      <c r="W57" s="95">
        <v>5</v>
      </c>
      <c r="X57" s="95">
        <v>3</v>
      </c>
      <c r="Y57" s="456" t="s">
        <v>352</v>
      </c>
      <c r="Z57" s="95" t="s">
        <v>780</v>
      </c>
      <c r="AA57" s="95" t="s">
        <v>174</v>
      </c>
      <c r="AB57" s="95" t="s">
        <v>862</v>
      </c>
      <c r="AC57" s="96" t="s">
        <v>1125</v>
      </c>
      <c r="AD57" s="543" t="s">
        <v>1586</v>
      </c>
      <c r="AE57" s="95">
        <f t="shared" si="2"/>
        <v>55</v>
      </c>
      <c r="AF57" s="94" t="s">
        <v>2312</v>
      </c>
      <c r="AG57" s="95">
        <v>5</v>
      </c>
      <c r="AH57" s="95">
        <v>2</v>
      </c>
      <c r="AI57" s="457" t="s">
        <v>498</v>
      </c>
      <c r="AJ57" s="95" t="s">
        <v>780</v>
      </c>
      <c r="AK57" s="95" t="s">
        <v>205</v>
      </c>
      <c r="AL57" s="95" t="s">
        <v>867</v>
      </c>
      <c r="AM57" s="95" t="s">
        <v>888</v>
      </c>
      <c r="AN57" s="97" t="s">
        <v>1611</v>
      </c>
    </row>
    <row r="58" spans="1:40" ht="12.75">
      <c r="A58" s="166">
        <f t="shared" si="3"/>
        <v>56</v>
      </c>
      <c r="B58" s="94" t="s">
        <v>2094</v>
      </c>
      <c r="C58" s="95">
        <v>4</v>
      </c>
      <c r="D58" s="95">
        <v>1</v>
      </c>
      <c r="E58" s="457" t="s">
        <v>377</v>
      </c>
      <c r="F58" s="95" t="s">
        <v>780</v>
      </c>
      <c r="G58" s="95" t="s">
        <v>366</v>
      </c>
      <c r="H58" s="95" t="s">
        <v>866</v>
      </c>
      <c r="I58" s="95" t="s">
        <v>888</v>
      </c>
      <c r="J58" s="97" t="s">
        <v>1538</v>
      </c>
      <c r="K58" s="166">
        <f t="shared" si="0"/>
        <v>56</v>
      </c>
      <c r="L58" s="94" t="s">
        <v>2147</v>
      </c>
      <c r="M58" s="95">
        <v>5</v>
      </c>
      <c r="N58" s="95">
        <v>2</v>
      </c>
      <c r="O58" s="457" t="s">
        <v>404</v>
      </c>
      <c r="P58" s="95" t="s">
        <v>780</v>
      </c>
      <c r="Q58" s="95" t="s">
        <v>174</v>
      </c>
      <c r="R58" s="95" t="s">
        <v>858</v>
      </c>
      <c r="S58" s="95" t="s">
        <v>888</v>
      </c>
      <c r="T58" s="97" t="s">
        <v>1563</v>
      </c>
      <c r="U58" s="166">
        <f t="shared" si="1"/>
        <v>56</v>
      </c>
      <c r="V58" s="500" t="s">
        <v>2219</v>
      </c>
      <c r="W58" s="95">
        <v>5</v>
      </c>
      <c r="X58" s="95">
        <v>1</v>
      </c>
      <c r="Y58" s="457" t="s">
        <v>2452</v>
      </c>
      <c r="Z58" s="95">
        <v>2</v>
      </c>
      <c r="AA58" s="95" t="s">
        <v>185</v>
      </c>
      <c r="AB58" s="95" t="s">
        <v>2394</v>
      </c>
      <c r="AC58" s="95" t="s">
        <v>888</v>
      </c>
      <c r="AD58" s="543" t="s">
        <v>1541</v>
      </c>
      <c r="AE58" s="95">
        <f t="shared" si="2"/>
        <v>56</v>
      </c>
      <c r="AF58" s="94" t="s">
        <v>2313</v>
      </c>
      <c r="AG58" s="95">
        <v>5</v>
      </c>
      <c r="AH58" s="95">
        <v>3</v>
      </c>
      <c r="AI58" s="457" t="s">
        <v>404</v>
      </c>
      <c r="AJ58" s="95">
        <v>6</v>
      </c>
      <c r="AK58" s="95" t="s">
        <v>174</v>
      </c>
      <c r="AL58" s="95" t="s">
        <v>862</v>
      </c>
      <c r="AM58" s="95" t="s">
        <v>887</v>
      </c>
      <c r="AN58" s="97" t="s">
        <v>1611</v>
      </c>
    </row>
    <row r="59" spans="1:40" ht="12.75">
      <c r="A59" s="166">
        <f t="shared" si="3"/>
        <v>57</v>
      </c>
      <c r="B59" s="94" t="s">
        <v>2095</v>
      </c>
      <c r="C59" s="95">
        <v>4</v>
      </c>
      <c r="D59" s="95">
        <v>2</v>
      </c>
      <c r="E59" s="457" t="s">
        <v>395</v>
      </c>
      <c r="F59" s="95" t="s">
        <v>780</v>
      </c>
      <c r="G59" s="95" t="s">
        <v>205</v>
      </c>
      <c r="H59" s="95" t="s">
        <v>863</v>
      </c>
      <c r="I59" s="95" t="s">
        <v>889</v>
      </c>
      <c r="J59" s="97" t="s">
        <v>1538</v>
      </c>
      <c r="K59" s="166">
        <f t="shared" si="0"/>
        <v>57</v>
      </c>
      <c r="L59" s="94" t="s">
        <v>2151</v>
      </c>
      <c r="M59" s="95">
        <v>5</v>
      </c>
      <c r="N59" s="95">
        <v>3</v>
      </c>
      <c r="O59" s="457" t="s">
        <v>404</v>
      </c>
      <c r="P59" s="95" t="s">
        <v>780</v>
      </c>
      <c r="Q59" s="95" t="s">
        <v>224</v>
      </c>
      <c r="R59" s="95" t="s">
        <v>860</v>
      </c>
      <c r="S59" s="95" t="s">
        <v>895</v>
      </c>
      <c r="T59" s="97" t="s">
        <v>1563</v>
      </c>
      <c r="U59" s="166">
        <f t="shared" si="1"/>
        <v>57</v>
      </c>
      <c r="V59" s="500" t="s">
        <v>2220</v>
      </c>
      <c r="W59" s="95">
        <v>5</v>
      </c>
      <c r="X59" s="95">
        <v>3</v>
      </c>
      <c r="Y59" s="457" t="s">
        <v>471</v>
      </c>
      <c r="Z59" s="95" t="s">
        <v>780</v>
      </c>
      <c r="AA59" s="95" t="s">
        <v>238</v>
      </c>
      <c r="AB59" s="95" t="s">
        <v>2221</v>
      </c>
      <c r="AC59" s="95" t="s">
        <v>1125</v>
      </c>
      <c r="AD59" s="543" t="s">
        <v>1587</v>
      </c>
      <c r="AE59" s="95">
        <f t="shared" si="2"/>
        <v>57</v>
      </c>
      <c r="AF59" s="94" t="s">
        <v>432</v>
      </c>
      <c r="AG59" s="95">
        <v>5</v>
      </c>
      <c r="AH59" s="95">
        <v>2</v>
      </c>
      <c r="AI59" s="456" t="s">
        <v>183</v>
      </c>
      <c r="AJ59" s="95" t="s">
        <v>780</v>
      </c>
      <c r="AK59" s="95" t="s">
        <v>174</v>
      </c>
      <c r="AL59" s="96" t="s">
        <v>1744</v>
      </c>
      <c r="AM59" s="95" t="s">
        <v>894</v>
      </c>
      <c r="AN59" s="97" t="s">
        <v>1610</v>
      </c>
    </row>
    <row r="60" spans="1:40" ht="12.75">
      <c r="A60" s="166">
        <f t="shared" si="3"/>
        <v>58</v>
      </c>
      <c r="B60" s="94" t="s">
        <v>2096</v>
      </c>
      <c r="C60" s="95">
        <v>4</v>
      </c>
      <c r="D60" s="95" t="s">
        <v>178</v>
      </c>
      <c r="E60" s="457" t="s">
        <v>2097</v>
      </c>
      <c r="F60" s="95">
        <v>4</v>
      </c>
      <c r="G60" s="95" t="s">
        <v>205</v>
      </c>
      <c r="H60" s="95" t="s">
        <v>861</v>
      </c>
      <c r="I60" s="95" t="s">
        <v>894</v>
      </c>
      <c r="J60" s="97" t="s">
        <v>1539</v>
      </c>
      <c r="K60" s="166">
        <f t="shared" si="0"/>
        <v>58</v>
      </c>
      <c r="L60" s="94" t="s">
        <v>2152</v>
      </c>
      <c r="M60" s="95">
        <v>5</v>
      </c>
      <c r="N60" s="95">
        <v>3</v>
      </c>
      <c r="O60" s="457" t="s">
        <v>498</v>
      </c>
      <c r="P60" s="95" t="s">
        <v>780</v>
      </c>
      <c r="Q60" s="95" t="s">
        <v>185</v>
      </c>
      <c r="R60" s="96" t="s">
        <v>2159</v>
      </c>
      <c r="S60" s="95" t="s">
        <v>1864</v>
      </c>
      <c r="T60" s="97" t="s">
        <v>1563</v>
      </c>
      <c r="U60" s="166">
        <f t="shared" si="1"/>
        <v>58</v>
      </c>
      <c r="V60" s="500" t="s">
        <v>429</v>
      </c>
      <c r="W60" s="95">
        <v>5</v>
      </c>
      <c r="X60" s="95" t="s">
        <v>430</v>
      </c>
      <c r="Y60" s="456" t="s">
        <v>431</v>
      </c>
      <c r="Z60" s="95" t="s">
        <v>780</v>
      </c>
      <c r="AA60" s="95" t="s">
        <v>174</v>
      </c>
      <c r="AB60" s="96" t="s">
        <v>868</v>
      </c>
      <c r="AC60" s="95" t="s">
        <v>1158</v>
      </c>
      <c r="AD60" s="543" t="s">
        <v>1586</v>
      </c>
      <c r="AE60" s="95">
        <f t="shared" si="2"/>
        <v>58</v>
      </c>
      <c r="AF60" s="94" t="s">
        <v>438</v>
      </c>
      <c r="AG60" s="95">
        <v>5</v>
      </c>
      <c r="AH60" s="95">
        <v>2</v>
      </c>
      <c r="AI60" s="456" t="s">
        <v>343</v>
      </c>
      <c r="AJ60" s="95" t="s">
        <v>780</v>
      </c>
      <c r="AK60" s="95" t="s">
        <v>220</v>
      </c>
      <c r="AL60" s="96" t="s">
        <v>2589</v>
      </c>
      <c r="AM60" s="95" t="s">
        <v>1131</v>
      </c>
      <c r="AN60" s="97" t="s">
        <v>1610</v>
      </c>
    </row>
    <row r="61" spans="1:40" ht="12.75">
      <c r="A61" s="166">
        <f t="shared" si="3"/>
        <v>59</v>
      </c>
      <c r="B61" s="94" t="s">
        <v>2098</v>
      </c>
      <c r="C61" s="95">
        <v>4</v>
      </c>
      <c r="D61" s="95">
        <v>1</v>
      </c>
      <c r="E61" s="457" t="s">
        <v>377</v>
      </c>
      <c r="F61" s="95" t="s">
        <v>780</v>
      </c>
      <c r="G61" s="95" t="s">
        <v>174</v>
      </c>
      <c r="H61" s="95" t="s">
        <v>858</v>
      </c>
      <c r="I61" s="95" t="s">
        <v>894</v>
      </c>
      <c r="J61" s="97" t="s">
        <v>1539</v>
      </c>
      <c r="K61" s="166">
        <f t="shared" si="0"/>
        <v>59</v>
      </c>
      <c r="L61" s="94" t="s">
        <v>2153</v>
      </c>
      <c r="M61" s="95">
        <v>5</v>
      </c>
      <c r="N61" s="95">
        <v>1</v>
      </c>
      <c r="O61" s="457" t="s">
        <v>2452</v>
      </c>
      <c r="P61" s="95">
        <v>2</v>
      </c>
      <c r="Q61" s="95" t="s">
        <v>185</v>
      </c>
      <c r="R61" s="95" t="s">
        <v>2394</v>
      </c>
      <c r="S61" s="95" t="s">
        <v>888</v>
      </c>
      <c r="T61" s="97" t="s">
        <v>1541</v>
      </c>
      <c r="U61" s="166">
        <f t="shared" si="1"/>
        <v>59</v>
      </c>
      <c r="V61" s="500" t="s">
        <v>2222</v>
      </c>
      <c r="W61" s="95">
        <v>5</v>
      </c>
      <c r="X61" s="95">
        <v>2</v>
      </c>
      <c r="Y61" s="457" t="s">
        <v>404</v>
      </c>
      <c r="Z61" s="95">
        <v>6</v>
      </c>
      <c r="AA61" s="95" t="s">
        <v>205</v>
      </c>
      <c r="AB61" s="96" t="s">
        <v>2223</v>
      </c>
      <c r="AC61" s="95" t="s">
        <v>2224</v>
      </c>
      <c r="AD61" s="543" t="s">
        <v>1587</v>
      </c>
      <c r="AE61" s="95">
        <f t="shared" si="2"/>
        <v>59</v>
      </c>
      <c r="AF61" s="94" t="s">
        <v>2314</v>
      </c>
      <c r="AG61" s="95">
        <v>5</v>
      </c>
      <c r="AH61" s="95">
        <v>2</v>
      </c>
      <c r="AI61" s="457" t="s">
        <v>2218</v>
      </c>
      <c r="AJ61" s="95" t="s">
        <v>780</v>
      </c>
      <c r="AK61" s="95" t="s">
        <v>205</v>
      </c>
      <c r="AL61" s="95" t="s">
        <v>859</v>
      </c>
      <c r="AM61" s="95" t="s">
        <v>895</v>
      </c>
      <c r="AN61" s="97" t="s">
        <v>1612</v>
      </c>
    </row>
    <row r="62" spans="1:40" ht="12.75">
      <c r="A62" s="166">
        <f t="shared" si="3"/>
        <v>60</v>
      </c>
      <c r="B62" s="94" t="s">
        <v>2100</v>
      </c>
      <c r="C62" s="95">
        <v>4</v>
      </c>
      <c r="D62" s="95">
        <v>1</v>
      </c>
      <c r="E62" s="457" t="s">
        <v>201</v>
      </c>
      <c r="F62" s="95" t="s">
        <v>780</v>
      </c>
      <c r="G62" s="95" t="s">
        <v>238</v>
      </c>
      <c r="H62" s="95" t="s">
        <v>858</v>
      </c>
      <c r="I62" s="95" t="s">
        <v>888</v>
      </c>
      <c r="J62" s="97" t="s">
        <v>1539</v>
      </c>
      <c r="K62" s="166">
        <f t="shared" si="0"/>
        <v>60</v>
      </c>
      <c r="L62" s="94" t="s">
        <v>1565</v>
      </c>
      <c r="M62" s="95">
        <v>5</v>
      </c>
      <c r="N62" s="95">
        <v>3</v>
      </c>
      <c r="O62" s="457" t="s">
        <v>498</v>
      </c>
      <c r="P62" s="95">
        <v>6</v>
      </c>
      <c r="Q62" s="95" t="s">
        <v>185</v>
      </c>
      <c r="R62" s="95" t="s">
        <v>2154</v>
      </c>
      <c r="S62" s="95" t="s">
        <v>889</v>
      </c>
      <c r="T62" s="97" t="s">
        <v>1566</v>
      </c>
      <c r="U62" s="166">
        <f t="shared" si="1"/>
        <v>60</v>
      </c>
      <c r="V62" s="500" t="s">
        <v>2225</v>
      </c>
      <c r="W62" s="95">
        <v>5</v>
      </c>
      <c r="X62" s="95">
        <v>2</v>
      </c>
      <c r="Y62" s="457" t="s">
        <v>404</v>
      </c>
      <c r="Z62" s="95">
        <v>6</v>
      </c>
      <c r="AA62" s="95" t="s">
        <v>197</v>
      </c>
      <c r="AB62" s="95" t="s">
        <v>862</v>
      </c>
      <c r="AC62" s="95" t="s">
        <v>889</v>
      </c>
      <c r="AD62" s="543" t="s">
        <v>1588</v>
      </c>
      <c r="AE62" s="95">
        <f t="shared" si="2"/>
        <v>60</v>
      </c>
      <c r="AF62" s="94" t="s">
        <v>2315</v>
      </c>
      <c r="AG62" s="95">
        <v>6</v>
      </c>
      <c r="AH62" s="95">
        <v>3</v>
      </c>
      <c r="AI62" s="457" t="s">
        <v>2114</v>
      </c>
      <c r="AJ62" s="95" t="s">
        <v>780</v>
      </c>
      <c r="AK62" s="95" t="s">
        <v>174</v>
      </c>
      <c r="AL62" s="95" t="s">
        <v>2316</v>
      </c>
      <c r="AM62" s="95" t="s">
        <v>2317</v>
      </c>
      <c r="AN62" s="97" t="s">
        <v>1612</v>
      </c>
    </row>
    <row r="63" spans="1:40" ht="12.75">
      <c r="A63" s="166">
        <f t="shared" si="3"/>
        <v>61</v>
      </c>
      <c r="B63" s="94" t="s">
        <v>2099</v>
      </c>
      <c r="C63" s="95">
        <v>4</v>
      </c>
      <c r="D63" s="95">
        <v>3</v>
      </c>
      <c r="E63" s="457" t="s">
        <v>377</v>
      </c>
      <c r="F63" s="95">
        <v>10</v>
      </c>
      <c r="G63" s="95" t="s">
        <v>174</v>
      </c>
      <c r="H63" s="95" t="s">
        <v>858</v>
      </c>
      <c r="I63" s="95" t="s">
        <v>1142</v>
      </c>
      <c r="J63" s="97" t="s">
        <v>1539</v>
      </c>
      <c r="K63" s="166">
        <f t="shared" si="0"/>
        <v>61</v>
      </c>
      <c r="L63" s="94" t="s">
        <v>2155</v>
      </c>
      <c r="M63" s="95">
        <v>5</v>
      </c>
      <c r="N63" s="95">
        <v>1</v>
      </c>
      <c r="O63" s="457" t="s">
        <v>404</v>
      </c>
      <c r="P63" s="95" t="s">
        <v>780</v>
      </c>
      <c r="Q63" s="95" t="s">
        <v>220</v>
      </c>
      <c r="R63" s="96" t="s">
        <v>2156</v>
      </c>
      <c r="S63" s="95" t="s">
        <v>889</v>
      </c>
      <c r="T63" s="97" t="s">
        <v>1566</v>
      </c>
      <c r="U63" s="166">
        <f t="shared" si="1"/>
        <v>61</v>
      </c>
      <c r="V63" s="500" t="s">
        <v>2226</v>
      </c>
      <c r="W63" s="95">
        <v>5</v>
      </c>
      <c r="X63" s="95">
        <v>3</v>
      </c>
      <c r="Y63" s="457" t="s">
        <v>404</v>
      </c>
      <c r="Z63" s="95">
        <v>10</v>
      </c>
      <c r="AA63" s="95" t="s">
        <v>205</v>
      </c>
      <c r="AB63" s="95" t="s">
        <v>2227</v>
      </c>
      <c r="AC63" s="95" t="s">
        <v>1128</v>
      </c>
      <c r="AD63" s="543" t="s">
        <v>1588</v>
      </c>
      <c r="AE63" s="95">
        <f t="shared" si="2"/>
        <v>61</v>
      </c>
      <c r="AF63" s="94" t="s">
        <v>444</v>
      </c>
      <c r="AG63" s="95">
        <v>6</v>
      </c>
      <c r="AH63" s="95">
        <v>2</v>
      </c>
      <c r="AI63" s="456" t="s">
        <v>308</v>
      </c>
      <c r="AJ63" s="95" t="s">
        <v>780</v>
      </c>
      <c r="AK63" s="95" t="s">
        <v>220</v>
      </c>
      <c r="AL63" s="95" t="s">
        <v>864</v>
      </c>
      <c r="AM63" s="95" t="s">
        <v>894</v>
      </c>
      <c r="AN63" s="97" t="s">
        <v>1613</v>
      </c>
    </row>
    <row r="64" spans="1:40" ht="12.75">
      <c r="A64" s="166">
        <f t="shared" si="3"/>
        <v>62</v>
      </c>
      <c r="B64" s="98" t="s">
        <v>396</v>
      </c>
      <c r="C64" s="95">
        <v>4</v>
      </c>
      <c r="D64" s="95">
        <v>2</v>
      </c>
      <c r="E64" s="456" t="s">
        <v>375</v>
      </c>
      <c r="F64" s="95" t="s">
        <v>780</v>
      </c>
      <c r="G64" s="95" t="s">
        <v>182</v>
      </c>
      <c r="H64" s="95" t="s">
        <v>1740</v>
      </c>
      <c r="I64" s="95" t="s">
        <v>1163</v>
      </c>
      <c r="J64" s="97" t="s">
        <v>1537</v>
      </c>
      <c r="K64" s="166">
        <f t="shared" si="0"/>
        <v>62</v>
      </c>
      <c r="L64" s="94" t="s">
        <v>2157</v>
      </c>
      <c r="M64" s="95">
        <v>5</v>
      </c>
      <c r="N64" s="95">
        <v>2</v>
      </c>
      <c r="O64" s="457" t="s">
        <v>529</v>
      </c>
      <c r="P64" s="95" t="s">
        <v>780</v>
      </c>
      <c r="Q64" s="95" t="s">
        <v>174</v>
      </c>
      <c r="R64" s="96" t="s">
        <v>2158</v>
      </c>
      <c r="S64" s="95" t="s">
        <v>894</v>
      </c>
      <c r="T64" s="97" t="s">
        <v>1566</v>
      </c>
      <c r="U64" s="166">
        <f t="shared" si="1"/>
        <v>62</v>
      </c>
      <c r="V64" s="500" t="s">
        <v>2228</v>
      </c>
      <c r="W64" s="95">
        <v>5</v>
      </c>
      <c r="X64" s="95">
        <v>3</v>
      </c>
      <c r="Y64" s="457" t="s">
        <v>321</v>
      </c>
      <c r="Z64" s="95">
        <v>12</v>
      </c>
      <c r="AA64" s="95" t="s">
        <v>220</v>
      </c>
      <c r="AB64" s="95" t="s">
        <v>2229</v>
      </c>
      <c r="AC64" s="95" t="s">
        <v>2230</v>
      </c>
      <c r="AD64" s="543" t="s">
        <v>1589</v>
      </c>
      <c r="AE64" s="95">
        <f t="shared" si="2"/>
        <v>62</v>
      </c>
      <c r="AF64" s="94" t="s">
        <v>449</v>
      </c>
      <c r="AG64" s="95">
        <v>6</v>
      </c>
      <c r="AH64" s="95">
        <v>3</v>
      </c>
      <c r="AI64" s="456" t="s">
        <v>450</v>
      </c>
      <c r="AJ64" s="95" t="s">
        <v>780</v>
      </c>
      <c r="AK64" s="95" t="s">
        <v>323</v>
      </c>
      <c r="AL64" s="96" t="s">
        <v>859</v>
      </c>
      <c r="AM64" s="95" t="s">
        <v>1132</v>
      </c>
      <c r="AN64" s="97" t="s">
        <v>1610</v>
      </c>
    </row>
    <row r="65" spans="1:40" ht="12.75">
      <c r="A65" s="166">
        <f t="shared" si="3"/>
        <v>63</v>
      </c>
      <c r="B65" s="94" t="s">
        <v>402</v>
      </c>
      <c r="C65" s="95">
        <v>4</v>
      </c>
      <c r="D65" s="95">
        <v>1</v>
      </c>
      <c r="E65" s="456" t="s">
        <v>404</v>
      </c>
      <c r="F65" s="95" t="s">
        <v>780</v>
      </c>
      <c r="G65" s="95" t="s">
        <v>182</v>
      </c>
      <c r="H65" s="95" t="s">
        <v>403</v>
      </c>
      <c r="I65" s="95" t="s">
        <v>1150</v>
      </c>
      <c r="J65" s="97" t="s">
        <v>1537</v>
      </c>
      <c r="K65" s="166">
        <f t="shared" si="0"/>
        <v>63</v>
      </c>
      <c r="L65" s="94" t="s">
        <v>392</v>
      </c>
      <c r="M65" s="95">
        <v>5</v>
      </c>
      <c r="N65" s="95">
        <v>3</v>
      </c>
      <c r="O65" s="456" t="s">
        <v>336</v>
      </c>
      <c r="P65" s="95" t="s">
        <v>780</v>
      </c>
      <c r="Q65" s="95" t="s">
        <v>174</v>
      </c>
      <c r="R65" s="96" t="s">
        <v>859</v>
      </c>
      <c r="S65" s="95" t="s">
        <v>1128</v>
      </c>
      <c r="T65" s="97" t="s">
        <v>1564</v>
      </c>
      <c r="U65" s="166">
        <f t="shared" si="1"/>
        <v>63</v>
      </c>
      <c r="V65" s="500" t="s">
        <v>2231</v>
      </c>
      <c r="W65" s="95">
        <v>5</v>
      </c>
      <c r="X65" s="95">
        <v>1</v>
      </c>
      <c r="Y65" s="457" t="s">
        <v>434</v>
      </c>
      <c r="Z65" s="95" t="s">
        <v>780</v>
      </c>
      <c r="AA65" s="95" t="s">
        <v>205</v>
      </c>
      <c r="AB65" s="95" t="s">
        <v>866</v>
      </c>
      <c r="AC65" s="95" t="s">
        <v>888</v>
      </c>
      <c r="AD65" s="543" t="s">
        <v>1589</v>
      </c>
      <c r="AE65" s="95">
        <f t="shared" si="2"/>
        <v>63</v>
      </c>
      <c r="AF65" s="94" t="s">
        <v>455</v>
      </c>
      <c r="AG65" s="95">
        <v>6</v>
      </c>
      <c r="AH65" s="95">
        <v>2</v>
      </c>
      <c r="AI65" s="456" t="s">
        <v>404</v>
      </c>
      <c r="AJ65" s="95" t="s">
        <v>780</v>
      </c>
      <c r="AK65" s="95" t="s">
        <v>323</v>
      </c>
      <c r="AL65" s="96" t="s">
        <v>456</v>
      </c>
      <c r="AM65" s="96" t="s">
        <v>1133</v>
      </c>
      <c r="AN65" s="97" t="s">
        <v>1613</v>
      </c>
    </row>
    <row r="66" spans="1:40" ht="12.75">
      <c r="A66" s="166">
        <f t="shared" si="3"/>
        <v>64</v>
      </c>
      <c r="B66" s="94" t="s">
        <v>412</v>
      </c>
      <c r="C66" s="95">
        <v>4</v>
      </c>
      <c r="D66" s="95">
        <v>2</v>
      </c>
      <c r="E66" s="456" t="s">
        <v>413</v>
      </c>
      <c r="F66" s="95" t="s">
        <v>780</v>
      </c>
      <c r="G66" s="95" t="s">
        <v>238</v>
      </c>
      <c r="H66" s="96" t="s">
        <v>858</v>
      </c>
      <c r="I66" s="95" t="s">
        <v>896</v>
      </c>
      <c r="J66" s="97" t="s">
        <v>1537</v>
      </c>
      <c r="K66" s="166">
        <f t="shared" si="0"/>
        <v>64</v>
      </c>
      <c r="L66" s="94" t="s">
        <v>2160</v>
      </c>
      <c r="M66" s="95">
        <v>5</v>
      </c>
      <c r="N66" s="95">
        <v>2</v>
      </c>
      <c r="O66" s="457" t="s">
        <v>498</v>
      </c>
      <c r="P66" s="95">
        <v>2</v>
      </c>
      <c r="Q66" s="95" t="s">
        <v>197</v>
      </c>
      <c r="R66" s="95" t="s">
        <v>2161</v>
      </c>
      <c r="S66" s="95" t="s">
        <v>889</v>
      </c>
      <c r="T66" s="97" t="s">
        <v>1567</v>
      </c>
      <c r="U66" s="166">
        <f t="shared" si="1"/>
        <v>64</v>
      </c>
      <c r="V66" s="500" t="s">
        <v>436</v>
      </c>
      <c r="W66" s="95">
        <v>5</v>
      </c>
      <c r="X66" s="95">
        <v>4</v>
      </c>
      <c r="Y66" s="456" t="s">
        <v>409</v>
      </c>
      <c r="Z66" s="95" t="s">
        <v>780</v>
      </c>
      <c r="AA66" s="95" t="s">
        <v>437</v>
      </c>
      <c r="AB66" s="96" t="s">
        <v>864</v>
      </c>
      <c r="AC66" s="95" t="s">
        <v>895</v>
      </c>
      <c r="AD66" s="543" t="s">
        <v>1586</v>
      </c>
      <c r="AE66" s="95">
        <f t="shared" si="2"/>
        <v>64</v>
      </c>
      <c r="AF66" s="94" t="s">
        <v>2318</v>
      </c>
      <c r="AG66" s="95">
        <v>6</v>
      </c>
      <c r="AH66" s="95">
        <v>2</v>
      </c>
      <c r="AI66" s="457" t="s">
        <v>2218</v>
      </c>
      <c r="AJ66" s="95" t="s">
        <v>780</v>
      </c>
      <c r="AK66" s="95" t="s">
        <v>174</v>
      </c>
      <c r="AL66" s="95" t="s">
        <v>2319</v>
      </c>
      <c r="AM66" s="95" t="s">
        <v>2224</v>
      </c>
      <c r="AN66" s="97" t="s">
        <v>1612</v>
      </c>
    </row>
    <row r="67" spans="1:40" ht="12.75">
      <c r="A67" s="166">
        <f t="shared" si="3"/>
        <v>65</v>
      </c>
      <c r="B67" s="94" t="s">
        <v>2101</v>
      </c>
      <c r="C67" s="95">
        <v>5</v>
      </c>
      <c r="D67" s="95">
        <v>3</v>
      </c>
      <c r="E67" s="457" t="s">
        <v>326</v>
      </c>
      <c r="F67" s="95">
        <v>2</v>
      </c>
      <c r="G67" s="95" t="s">
        <v>182</v>
      </c>
      <c r="H67" s="95" t="s">
        <v>860</v>
      </c>
      <c r="I67" s="95" t="s">
        <v>889</v>
      </c>
      <c r="J67" s="97" t="s">
        <v>1539</v>
      </c>
      <c r="K67" s="166">
        <f t="shared" si="0"/>
        <v>65</v>
      </c>
      <c r="L67" s="98" t="s">
        <v>397</v>
      </c>
      <c r="M67" s="95">
        <v>5</v>
      </c>
      <c r="N67" s="95">
        <v>3</v>
      </c>
      <c r="O67" s="456" t="s">
        <v>321</v>
      </c>
      <c r="P67" s="95" t="s">
        <v>780</v>
      </c>
      <c r="Q67" s="95" t="s">
        <v>174</v>
      </c>
      <c r="R67" s="95" t="s">
        <v>398</v>
      </c>
      <c r="S67" s="95" t="s">
        <v>1139</v>
      </c>
      <c r="T67" s="97" t="s">
        <v>1564</v>
      </c>
      <c r="U67" s="166">
        <f t="shared" si="1"/>
        <v>65</v>
      </c>
      <c r="V67" s="500" t="s">
        <v>2232</v>
      </c>
      <c r="W67" s="95">
        <v>5</v>
      </c>
      <c r="X67" s="95">
        <v>2</v>
      </c>
      <c r="Y67" s="457" t="s">
        <v>498</v>
      </c>
      <c r="Z67" s="95" t="s">
        <v>780</v>
      </c>
      <c r="AA67" s="95" t="s">
        <v>205</v>
      </c>
      <c r="AB67" s="95" t="s">
        <v>860</v>
      </c>
      <c r="AC67" s="95" t="s">
        <v>1132</v>
      </c>
      <c r="AD67" s="543" t="s">
        <v>1589</v>
      </c>
      <c r="AE67" s="95">
        <f t="shared" si="2"/>
        <v>65</v>
      </c>
      <c r="AF67" s="94" t="s">
        <v>460</v>
      </c>
      <c r="AG67" s="95">
        <v>6</v>
      </c>
      <c r="AH67" s="95">
        <v>1</v>
      </c>
      <c r="AI67" s="456" t="s">
        <v>360</v>
      </c>
      <c r="AJ67" s="95" t="s">
        <v>780</v>
      </c>
      <c r="AK67" s="95" t="s">
        <v>174</v>
      </c>
      <c r="AL67" s="96" t="s">
        <v>862</v>
      </c>
      <c r="AM67" s="96" t="s">
        <v>894</v>
      </c>
      <c r="AN67" s="97" t="s">
        <v>1613</v>
      </c>
    </row>
    <row r="68" spans="1:40" ht="12.75">
      <c r="A68" s="166">
        <f t="shared" si="3"/>
        <v>66</v>
      </c>
      <c r="B68" s="94" t="s">
        <v>2102</v>
      </c>
      <c r="C68" s="95">
        <v>5</v>
      </c>
      <c r="D68" s="95">
        <v>1</v>
      </c>
      <c r="E68" s="457" t="s">
        <v>2452</v>
      </c>
      <c r="F68" s="95">
        <v>2</v>
      </c>
      <c r="G68" s="95" t="s">
        <v>185</v>
      </c>
      <c r="H68" s="95" t="s">
        <v>2394</v>
      </c>
      <c r="I68" s="95" t="s">
        <v>888</v>
      </c>
      <c r="J68" s="97" t="s">
        <v>1541</v>
      </c>
      <c r="K68" s="166">
        <f aca="true" t="shared" si="4" ref="K68:K122">K67+1</f>
        <v>66</v>
      </c>
      <c r="L68" s="94" t="s">
        <v>405</v>
      </c>
      <c r="M68" s="95">
        <v>5</v>
      </c>
      <c r="N68" s="95" t="s">
        <v>178</v>
      </c>
      <c r="O68" s="456" t="s">
        <v>407</v>
      </c>
      <c r="P68" s="95" t="s">
        <v>780</v>
      </c>
      <c r="Q68" s="95" t="s">
        <v>265</v>
      </c>
      <c r="R68" s="95" t="s">
        <v>406</v>
      </c>
      <c r="S68" s="95" t="s">
        <v>891</v>
      </c>
      <c r="T68" s="97" t="s">
        <v>1564</v>
      </c>
      <c r="U68" s="166">
        <f aca="true" t="shared" si="5" ref="U68:U122">U67+1</f>
        <v>66</v>
      </c>
      <c r="V68" s="500" t="s">
        <v>2233</v>
      </c>
      <c r="W68" s="95">
        <v>5</v>
      </c>
      <c r="X68" s="95">
        <v>1</v>
      </c>
      <c r="Y68" s="457" t="s">
        <v>404</v>
      </c>
      <c r="Z68" s="95" t="s">
        <v>780</v>
      </c>
      <c r="AA68" s="95" t="s">
        <v>205</v>
      </c>
      <c r="AB68" s="95" t="s">
        <v>858</v>
      </c>
      <c r="AC68" s="95" t="s">
        <v>1151</v>
      </c>
      <c r="AD68" s="543" t="s">
        <v>1589</v>
      </c>
      <c r="AE68" s="95">
        <f aca="true" t="shared" si="6" ref="AE68:AE122">AE67+1</f>
        <v>66</v>
      </c>
      <c r="AF68" s="94" t="s">
        <v>2320</v>
      </c>
      <c r="AG68" s="95">
        <v>6</v>
      </c>
      <c r="AH68" s="95">
        <v>3</v>
      </c>
      <c r="AI68" s="457" t="s">
        <v>468</v>
      </c>
      <c r="AJ68" s="95">
        <v>6</v>
      </c>
      <c r="AK68" s="95" t="s">
        <v>220</v>
      </c>
      <c r="AL68" s="96" t="s">
        <v>2321</v>
      </c>
      <c r="AM68" s="95" t="s">
        <v>2296</v>
      </c>
      <c r="AN68" s="97" t="s">
        <v>1612</v>
      </c>
    </row>
    <row r="69" spans="1:40" ht="12.75">
      <c r="A69" s="166">
        <f aca="true" t="shared" si="7" ref="A69:A122">A68+1</f>
        <v>67</v>
      </c>
      <c r="B69" s="94" t="s">
        <v>421</v>
      </c>
      <c r="C69" s="95">
        <v>5</v>
      </c>
      <c r="D69" s="95">
        <v>1</v>
      </c>
      <c r="E69" s="456" t="s">
        <v>404</v>
      </c>
      <c r="F69" s="95" t="s">
        <v>780</v>
      </c>
      <c r="G69" s="95" t="s">
        <v>174</v>
      </c>
      <c r="H69" s="95" t="s">
        <v>876</v>
      </c>
      <c r="I69" s="96" t="s">
        <v>889</v>
      </c>
      <c r="J69" s="97" t="s">
        <v>1542</v>
      </c>
      <c r="K69" s="166">
        <f t="shared" si="4"/>
        <v>67</v>
      </c>
      <c r="L69" s="94" t="s">
        <v>1569</v>
      </c>
      <c r="M69" s="95">
        <v>5</v>
      </c>
      <c r="N69" s="95">
        <v>1</v>
      </c>
      <c r="O69" s="457" t="s">
        <v>498</v>
      </c>
      <c r="P69" s="95" t="s">
        <v>780</v>
      </c>
      <c r="Q69" s="95" t="s">
        <v>323</v>
      </c>
      <c r="R69" s="95" t="s">
        <v>862</v>
      </c>
      <c r="S69" s="95" t="s">
        <v>888</v>
      </c>
      <c r="T69" s="97" t="s">
        <v>1568</v>
      </c>
      <c r="U69" s="166">
        <f t="shared" si="5"/>
        <v>67</v>
      </c>
      <c r="V69" s="500" t="s">
        <v>443</v>
      </c>
      <c r="W69" s="95">
        <v>5</v>
      </c>
      <c r="X69" s="95">
        <v>3</v>
      </c>
      <c r="Y69" s="456" t="s">
        <v>371</v>
      </c>
      <c r="Z69" s="95" t="s">
        <v>780</v>
      </c>
      <c r="AA69" s="95" t="s">
        <v>185</v>
      </c>
      <c r="AB69" s="95" t="s">
        <v>862</v>
      </c>
      <c r="AC69" s="95" t="s">
        <v>888</v>
      </c>
      <c r="AD69" s="543" t="s">
        <v>1586</v>
      </c>
      <c r="AE69" s="95">
        <f t="shared" si="6"/>
        <v>67</v>
      </c>
      <c r="AF69" s="94" t="s">
        <v>2322</v>
      </c>
      <c r="AG69" s="95">
        <v>6</v>
      </c>
      <c r="AH69" s="95" t="s">
        <v>359</v>
      </c>
      <c r="AI69" s="457" t="s">
        <v>2323</v>
      </c>
      <c r="AJ69" s="95" t="s">
        <v>780</v>
      </c>
      <c r="AK69" s="95" t="s">
        <v>197</v>
      </c>
      <c r="AL69" s="95" t="s">
        <v>861</v>
      </c>
      <c r="AM69" s="95" t="s">
        <v>888</v>
      </c>
      <c r="AN69" s="97" t="s">
        <v>1567</v>
      </c>
    </row>
    <row r="70" spans="1:40" ht="12.75">
      <c r="A70" s="166">
        <f t="shared" si="7"/>
        <v>68</v>
      </c>
      <c r="B70" s="94" t="s">
        <v>425</v>
      </c>
      <c r="C70" s="95">
        <v>5</v>
      </c>
      <c r="D70" s="95">
        <v>1</v>
      </c>
      <c r="E70" s="456" t="s">
        <v>426</v>
      </c>
      <c r="F70" s="95" t="s">
        <v>780</v>
      </c>
      <c r="G70" s="95" t="s">
        <v>323</v>
      </c>
      <c r="H70" s="96" t="s">
        <v>862</v>
      </c>
      <c r="I70" s="95" t="s">
        <v>888</v>
      </c>
      <c r="J70" s="97" t="s">
        <v>1542</v>
      </c>
      <c r="K70" s="166">
        <f t="shared" si="4"/>
        <v>68</v>
      </c>
      <c r="L70" s="94" t="s">
        <v>414</v>
      </c>
      <c r="M70" s="95">
        <v>5</v>
      </c>
      <c r="N70" s="95">
        <v>1</v>
      </c>
      <c r="O70" s="456" t="s">
        <v>375</v>
      </c>
      <c r="P70" s="95" t="s">
        <v>780</v>
      </c>
      <c r="Q70" s="95" t="s">
        <v>185</v>
      </c>
      <c r="R70" s="96" t="s">
        <v>415</v>
      </c>
      <c r="S70" s="95" t="s">
        <v>891</v>
      </c>
      <c r="T70" s="97" t="s">
        <v>1564</v>
      </c>
      <c r="U70" s="166">
        <f t="shared" si="5"/>
        <v>68</v>
      </c>
      <c r="V70" s="500" t="s">
        <v>448</v>
      </c>
      <c r="W70" s="95">
        <v>6</v>
      </c>
      <c r="X70" s="95">
        <v>1</v>
      </c>
      <c r="Y70" s="456" t="s">
        <v>321</v>
      </c>
      <c r="Z70" s="95" t="s">
        <v>780</v>
      </c>
      <c r="AA70" s="95" t="s">
        <v>216</v>
      </c>
      <c r="AB70" s="96" t="s">
        <v>860</v>
      </c>
      <c r="AC70" s="95" t="s">
        <v>1131</v>
      </c>
      <c r="AD70" s="543" t="s">
        <v>1586</v>
      </c>
      <c r="AE70" s="95">
        <f t="shared" si="6"/>
        <v>68</v>
      </c>
      <c r="AF70" s="94" t="s">
        <v>466</v>
      </c>
      <c r="AG70" s="95">
        <v>6</v>
      </c>
      <c r="AH70" s="95">
        <v>2</v>
      </c>
      <c r="AI70" s="456" t="s">
        <v>352</v>
      </c>
      <c r="AJ70" s="95" t="s">
        <v>780</v>
      </c>
      <c r="AK70" s="95" t="s">
        <v>323</v>
      </c>
      <c r="AL70" s="95" t="s">
        <v>865</v>
      </c>
      <c r="AM70" s="96" t="s">
        <v>888</v>
      </c>
      <c r="AN70" s="97" t="s">
        <v>1613</v>
      </c>
    </row>
    <row r="71" spans="1:40" ht="12.75">
      <c r="A71" s="166">
        <f t="shared" si="7"/>
        <v>69</v>
      </c>
      <c r="B71" s="94" t="s">
        <v>2103</v>
      </c>
      <c r="C71" s="95">
        <v>5</v>
      </c>
      <c r="D71" s="95">
        <v>3</v>
      </c>
      <c r="E71" s="457" t="s">
        <v>326</v>
      </c>
      <c r="F71" s="95" t="s">
        <v>780</v>
      </c>
      <c r="G71" s="95" t="s">
        <v>220</v>
      </c>
      <c r="H71" s="95" t="s">
        <v>862</v>
      </c>
      <c r="I71" s="95" t="s">
        <v>1151</v>
      </c>
      <c r="J71" s="97" t="s">
        <v>1543</v>
      </c>
      <c r="K71" s="166">
        <f t="shared" si="4"/>
        <v>69</v>
      </c>
      <c r="L71" s="94" t="s">
        <v>2162</v>
      </c>
      <c r="M71" s="95">
        <v>5</v>
      </c>
      <c r="N71" s="95">
        <v>5</v>
      </c>
      <c r="O71" s="457" t="s">
        <v>404</v>
      </c>
      <c r="P71" s="95" t="s">
        <v>780</v>
      </c>
      <c r="Q71" s="95" t="s">
        <v>205</v>
      </c>
      <c r="R71" s="95" t="s">
        <v>2163</v>
      </c>
      <c r="S71" s="95" t="s">
        <v>895</v>
      </c>
      <c r="T71" s="97" t="s">
        <v>1568</v>
      </c>
      <c r="U71" s="166">
        <f t="shared" si="5"/>
        <v>69</v>
      </c>
      <c r="V71" s="500" t="s">
        <v>2234</v>
      </c>
      <c r="W71" s="95">
        <v>6</v>
      </c>
      <c r="X71" s="95">
        <v>3</v>
      </c>
      <c r="Y71" s="457" t="s">
        <v>326</v>
      </c>
      <c r="Z71" s="95" t="s">
        <v>780</v>
      </c>
      <c r="AA71" s="95" t="s">
        <v>182</v>
      </c>
      <c r="AB71" s="95" t="s">
        <v>860</v>
      </c>
      <c r="AC71" s="95" t="s">
        <v>1139</v>
      </c>
      <c r="AD71" s="543" t="s">
        <v>1590</v>
      </c>
      <c r="AE71" s="95">
        <f t="shared" si="6"/>
        <v>69</v>
      </c>
      <c r="AF71" s="94" t="s">
        <v>472</v>
      </c>
      <c r="AG71" s="95">
        <v>6</v>
      </c>
      <c r="AH71" s="95">
        <v>2</v>
      </c>
      <c r="AI71" s="456" t="s">
        <v>381</v>
      </c>
      <c r="AJ71" s="95" t="s">
        <v>780</v>
      </c>
      <c r="AK71" s="95" t="s">
        <v>185</v>
      </c>
      <c r="AL71" s="96" t="s">
        <v>473</v>
      </c>
      <c r="AM71" s="95" t="s">
        <v>890</v>
      </c>
      <c r="AN71" s="97" t="s">
        <v>1613</v>
      </c>
    </row>
    <row r="72" spans="1:40" ht="12.75">
      <c r="A72" s="166">
        <f t="shared" si="7"/>
        <v>70</v>
      </c>
      <c r="B72" s="94" t="s">
        <v>2104</v>
      </c>
      <c r="C72" s="95">
        <v>5</v>
      </c>
      <c r="D72" s="95">
        <v>3</v>
      </c>
      <c r="E72" s="457" t="s">
        <v>404</v>
      </c>
      <c r="F72" s="95">
        <v>6</v>
      </c>
      <c r="G72" s="95" t="s">
        <v>174</v>
      </c>
      <c r="H72" s="95" t="s">
        <v>2105</v>
      </c>
      <c r="I72" s="95" t="s">
        <v>1142</v>
      </c>
      <c r="J72" s="97" t="s">
        <v>1543</v>
      </c>
      <c r="K72" s="166">
        <f t="shared" si="4"/>
        <v>70</v>
      </c>
      <c r="L72" s="94" t="s">
        <v>422</v>
      </c>
      <c r="M72" s="95">
        <v>5</v>
      </c>
      <c r="N72" s="95">
        <v>3</v>
      </c>
      <c r="O72" s="456" t="s">
        <v>183</v>
      </c>
      <c r="P72" s="95" t="s">
        <v>780</v>
      </c>
      <c r="Q72" s="95" t="s">
        <v>185</v>
      </c>
      <c r="R72" s="95" t="s">
        <v>862</v>
      </c>
      <c r="S72" s="96" t="s">
        <v>891</v>
      </c>
      <c r="T72" s="97" t="s">
        <v>1564</v>
      </c>
      <c r="U72" s="166">
        <f t="shared" si="5"/>
        <v>70</v>
      </c>
      <c r="V72" s="500" t="s">
        <v>454</v>
      </c>
      <c r="W72" s="95">
        <v>6</v>
      </c>
      <c r="X72" s="95">
        <v>2</v>
      </c>
      <c r="Y72" s="456" t="s">
        <v>426</v>
      </c>
      <c r="Z72" s="95" t="s">
        <v>780</v>
      </c>
      <c r="AA72" s="95" t="s">
        <v>185</v>
      </c>
      <c r="AB72" s="96" t="s">
        <v>862</v>
      </c>
      <c r="AC72" s="95" t="s">
        <v>888</v>
      </c>
      <c r="AD72" s="543" t="s">
        <v>1586</v>
      </c>
      <c r="AE72" s="95">
        <f t="shared" si="6"/>
        <v>70</v>
      </c>
      <c r="AF72" s="94" t="s">
        <v>2324</v>
      </c>
      <c r="AG72" s="95">
        <v>6</v>
      </c>
      <c r="AH72" s="95">
        <v>2</v>
      </c>
      <c r="AI72" s="457" t="s">
        <v>468</v>
      </c>
      <c r="AJ72" s="95">
        <v>6</v>
      </c>
      <c r="AK72" s="95" t="s">
        <v>174</v>
      </c>
      <c r="AL72" s="95" t="s">
        <v>858</v>
      </c>
      <c r="AM72" s="95" t="s">
        <v>2296</v>
      </c>
      <c r="AN72" s="97" t="s">
        <v>1612</v>
      </c>
    </row>
    <row r="73" spans="1:40" ht="12.75">
      <c r="A73" s="166">
        <f t="shared" si="7"/>
        <v>71</v>
      </c>
      <c r="B73" s="94" t="s">
        <v>433</v>
      </c>
      <c r="C73" s="95">
        <v>5</v>
      </c>
      <c r="D73" s="95">
        <v>1</v>
      </c>
      <c r="E73" s="456" t="s">
        <v>434</v>
      </c>
      <c r="F73" s="95" t="s">
        <v>780</v>
      </c>
      <c r="G73" s="95" t="s">
        <v>323</v>
      </c>
      <c r="H73" s="96" t="s">
        <v>859</v>
      </c>
      <c r="I73" s="95" t="s">
        <v>1151</v>
      </c>
      <c r="J73" s="97" t="s">
        <v>1542</v>
      </c>
      <c r="K73" s="166">
        <f t="shared" si="4"/>
        <v>71</v>
      </c>
      <c r="L73" s="94" t="s">
        <v>2164</v>
      </c>
      <c r="M73" s="95">
        <v>6</v>
      </c>
      <c r="N73" s="95">
        <v>2</v>
      </c>
      <c r="O73" s="457" t="s">
        <v>478</v>
      </c>
      <c r="P73" s="95" t="s">
        <v>780</v>
      </c>
      <c r="Q73" s="95" t="s">
        <v>174</v>
      </c>
      <c r="R73" s="95" t="s">
        <v>860</v>
      </c>
      <c r="S73" s="95" t="s">
        <v>891</v>
      </c>
      <c r="T73" s="97" t="s">
        <v>1568</v>
      </c>
      <c r="U73" s="166">
        <f t="shared" si="5"/>
        <v>71</v>
      </c>
      <c r="V73" s="500" t="s">
        <v>2235</v>
      </c>
      <c r="W73" s="95">
        <v>6</v>
      </c>
      <c r="X73" s="95">
        <v>3</v>
      </c>
      <c r="Y73" s="457" t="s">
        <v>494</v>
      </c>
      <c r="Z73" s="95">
        <v>6</v>
      </c>
      <c r="AA73" s="95" t="s">
        <v>174</v>
      </c>
      <c r="AB73" s="95" t="s">
        <v>2236</v>
      </c>
      <c r="AC73" s="95" t="s">
        <v>2237</v>
      </c>
      <c r="AD73" s="543" t="s">
        <v>1590</v>
      </c>
      <c r="AE73" s="95">
        <f t="shared" si="6"/>
        <v>71</v>
      </c>
      <c r="AF73" s="94" t="s">
        <v>2325</v>
      </c>
      <c r="AG73" s="95">
        <v>7</v>
      </c>
      <c r="AH73" s="95">
        <v>3</v>
      </c>
      <c r="AI73" s="457" t="s">
        <v>2130</v>
      </c>
      <c r="AJ73" s="95" t="s">
        <v>780</v>
      </c>
      <c r="AK73" s="95" t="s">
        <v>197</v>
      </c>
      <c r="AL73" s="95" t="s">
        <v>2326</v>
      </c>
      <c r="AM73" s="95" t="s">
        <v>1864</v>
      </c>
      <c r="AN73" s="97" t="s">
        <v>1614</v>
      </c>
    </row>
    <row r="74" spans="1:40" ht="12.75">
      <c r="A74" s="166">
        <f t="shared" si="7"/>
        <v>72</v>
      </c>
      <c r="B74" s="94" t="s">
        <v>439</v>
      </c>
      <c r="C74" s="95">
        <v>5</v>
      </c>
      <c r="D74" s="95">
        <v>2</v>
      </c>
      <c r="E74" s="456" t="s">
        <v>321</v>
      </c>
      <c r="F74" s="95" t="s">
        <v>780</v>
      </c>
      <c r="G74" s="95" t="s">
        <v>174</v>
      </c>
      <c r="H74" s="95" t="s">
        <v>440</v>
      </c>
      <c r="I74" s="95" t="s">
        <v>1146</v>
      </c>
      <c r="J74" s="97" t="s">
        <v>1542</v>
      </c>
      <c r="K74" s="166">
        <f t="shared" si="4"/>
        <v>72</v>
      </c>
      <c r="L74" s="94" t="s">
        <v>427</v>
      </c>
      <c r="M74" s="95">
        <v>6</v>
      </c>
      <c r="N74" s="95">
        <v>4</v>
      </c>
      <c r="O74" s="456" t="s">
        <v>428</v>
      </c>
      <c r="P74" s="95" t="s">
        <v>780</v>
      </c>
      <c r="Q74" s="95" t="s">
        <v>174</v>
      </c>
      <c r="R74" s="96" t="s">
        <v>862</v>
      </c>
      <c r="S74" s="95" t="s">
        <v>1141</v>
      </c>
      <c r="T74" s="97" t="s">
        <v>1570</v>
      </c>
      <c r="U74" s="166">
        <f t="shared" si="5"/>
        <v>72</v>
      </c>
      <c r="V74" s="500" t="s">
        <v>2238</v>
      </c>
      <c r="W74" s="95">
        <v>6</v>
      </c>
      <c r="X74" s="95" t="s">
        <v>359</v>
      </c>
      <c r="Y74" s="457" t="s">
        <v>2114</v>
      </c>
      <c r="Z74" s="95" t="s">
        <v>780</v>
      </c>
      <c r="AA74" s="95" t="s">
        <v>185</v>
      </c>
      <c r="AB74" s="95" t="s">
        <v>870</v>
      </c>
      <c r="AC74" s="95" t="s">
        <v>888</v>
      </c>
      <c r="AD74" s="543" t="s">
        <v>1591</v>
      </c>
      <c r="AE74" s="95">
        <f t="shared" si="6"/>
        <v>72</v>
      </c>
      <c r="AF74" s="94" t="s">
        <v>477</v>
      </c>
      <c r="AG74" s="95">
        <v>7</v>
      </c>
      <c r="AH74" s="95">
        <v>3</v>
      </c>
      <c r="AI74" s="456" t="s">
        <v>478</v>
      </c>
      <c r="AJ74" s="95" t="s">
        <v>780</v>
      </c>
      <c r="AK74" s="95" t="s">
        <v>185</v>
      </c>
      <c r="AL74" s="96" t="s">
        <v>866</v>
      </c>
      <c r="AM74" s="96" t="s">
        <v>1134</v>
      </c>
      <c r="AN74" s="97" t="s">
        <v>1613</v>
      </c>
    </row>
    <row r="75" spans="1:40" ht="12.75">
      <c r="A75" s="166">
        <f t="shared" si="7"/>
        <v>73</v>
      </c>
      <c r="B75" s="94" t="s">
        <v>2106</v>
      </c>
      <c r="C75" s="95">
        <v>5</v>
      </c>
      <c r="D75" s="95">
        <v>4</v>
      </c>
      <c r="E75" s="457" t="s">
        <v>326</v>
      </c>
      <c r="F75" s="95" t="s">
        <v>780</v>
      </c>
      <c r="G75" s="95" t="s">
        <v>174</v>
      </c>
      <c r="H75" s="95" t="s">
        <v>2107</v>
      </c>
      <c r="I75" s="95" t="s">
        <v>2108</v>
      </c>
      <c r="J75" s="97" t="s">
        <v>1544</v>
      </c>
      <c r="K75" s="166">
        <f t="shared" si="4"/>
        <v>73</v>
      </c>
      <c r="L75" s="94" t="s">
        <v>435</v>
      </c>
      <c r="M75" s="95">
        <v>6</v>
      </c>
      <c r="N75" s="95">
        <v>3</v>
      </c>
      <c r="O75" s="456" t="s">
        <v>336</v>
      </c>
      <c r="P75" s="95" t="s">
        <v>780</v>
      </c>
      <c r="Q75" s="95" t="s">
        <v>185</v>
      </c>
      <c r="R75" s="96" t="s">
        <v>862</v>
      </c>
      <c r="S75" s="95" t="s">
        <v>1127</v>
      </c>
      <c r="T75" s="97" t="s">
        <v>1570</v>
      </c>
      <c r="U75" s="166">
        <f t="shared" si="5"/>
        <v>73</v>
      </c>
      <c r="V75" s="500" t="s">
        <v>459</v>
      </c>
      <c r="W75" s="95">
        <v>6</v>
      </c>
      <c r="X75" s="95">
        <v>1</v>
      </c>
      <c r="Y75" s="456" t="s">
        <v>352</v>
      </c>
      <c r="Z75" s="95" t="s">
        <v>780</v>
      </c>
      <c r="AA75" s="95" t="s">
        <v>182</v>
      </c>
      <c r="AB75" s="96" t="s">
        <v>859</v>
      </c>
      <c r="AC75" s="96" t="s">
        <v>1139</v>
      </c>
      <c r="AD75" s="543" t="s">
        <v>1592</v>
      </c>
      <c r="AE75" s="95">
        <f t="shared" si="6"/>
        <v>73</v>
      </c>
      <c r="AF75" s="94" t="s">
        <v>1617</v>
      </c>
      <c r="AG75" s="95">
        <v>7</v>
      </c>
      <c r="AH75" s="95">
        <v>2</v>
      </c>
      <c r="AI75" s="457" t="s">
        <v>377</v>
      </c>
      <c r="AJ75" s="95" t="s">
        <v>780</v>
      </c>
      <c r="AK75" s="95" t="s">
        <v>328</v>
      </c>
      <c r="AL75" s="95" t="s">
        <v>2330</v>
      </c>
      <c r="AM75" s="95" t="s">
        <v>888</v>
      </c>
      <c r="AN75" s="97" t="s">
        <v>1614</v>
      </c>
    </row>
    <row r="76" spans="1:40" ht="12.75">
      <c r="A76" s="166">
        <f t="shared" si="7"/>
        <v>74</v>
      </c>
      <c r="B76" s="94" t="s">
        <v>2109</v>
      </c>
      <c r="C76" s="95">
        <v>5</v>
      </c>
      <c r="D76" s="95">
        <v>2</v>
      </c>
      <c r="E76" s="457" t="s">
        <v>498</v>
      </c>
      <c r="F76" s="95" t="s">
        <v>780</v>
      </c>
      <c r="G76" s="95" t="s">
        <v>174</v>
      </c>
      <c r="H76" s="96" t="s">
        <v>2110</v>
      </c>
      <c r="I76" s="95" t="s">
        <v>1142</v>
      </c>
      <c r="J76" s="97" t="s">
        <v>1544</v>
      </c>
      <c r="K76" s="166">
        <f t="shared" si="4"/>
        <v>74</v>
      </c>
      <c r="L76" s="94" t="s">
        <v>441</v>
      </c>
      <c r="M76" s="95">
        <v>6</v>
      </c>
      <c r="N76" s="95">
        <v>3</v>
      </c>
      <c r="O76" s="456" t="s">
        <v>330</v>
      </c>
      <c r="P76" s="95" t="s">
        <v>780</v>
      </c>
      <c r="Q76" s="95" t="s">
        <v>442</v>
      </c>
      <c r="R76" s="95" t="s">
        <v>858</v>
      </c>
      <c r="S76" s="95" t="s">
        <v>892</v>
      </c>
      <c r="T76" s="97" t="s">
        <v>1570</v>
      </c>
      <c r="U76" s="166">
        <f t="shared" si="5"/>
        <v>74</v>
      </c>
      <c r="V76" s="500" t="s">
        <v>464</v>
      </c>
      <c r="W76" s="95">
        <v>6</v>
      </c>
      <c r="X76" s="95">
        <v>3</v>
      </c>
      <c r="Y76" s="456" t="s">
        <v>428</v>
      </c>
      <c r="Z76" s="95" t="s">
        <v>780</v>
      </c>
      <c r="AA76" s="95" t="s">
        <v>216</v>
      </c>
      <c r="AB76" s="95" t="s">
        <v>465</v>
      </c>
      <c r="AC76" s="95" t="s">
        <v>888</v>
      </c>
      <c r="AD76" s="543" t="s">
        <v>1592</v>
      </c>
      <c r="AE76" s="95">
        <f t="shared" si="6"/>
        <v>74</v>
      </c>
      <c r="AF76" s="94" t="s">
        <v>485</v>
      </c>
      <c r="AG76" s="95">
        <v>7</v>
      </c>
      <c r="AH76" s="95">
        <v>1</v>
      </c>
      <c r="AI76" s="456" t="s">
        <v>486</v>
      </c>
      <c r="AJ76" s="95" t="s">
        <v>780</v>
      </c>
      <c r="AK76" s="95" t="s">
        <v>185</v>
      </c>
      <c r="AL76" s="95" t="s">
        <v>863</v>
      </c>
      <c r="AM76" s="96" t="s">
        <v>888</v>
      </c>
      <c r="AN76" s="97" t="s">
        <v>1613</v>
      </c>
    </row>
    <row r="77" spans="1:40" ht="12.75">
      <c r="A77" s="166">
        <f t="shared" si="7"/>
        <v>75</v>
      </c>
      <c r="B77" s="94" t="s">
        <v>2111</v>
      </c>
      <c r="C77" s="95">
        <v>5</v>
      </c>
      <c r="D77" s="95">
        <v>1</v>
      </c>
      <c r="E77" s="457" t="s">
        <v>498</v>
      </c>
      <c r="F77" s="95" t="s">
        <v>780</v>
      </c>
      <c r="G77" s="95" t="s">
        <v>182</v>
      </c>
      <c r="H77" s="95" t="s">
        <v>858</v>
      </c>
      <c r="I77" s="95" t="s">
        <v>888</v>
      </c>
      <c r="J77" s="97" t="s">
        <v>1544</v>
      </c>
      <c r="K77" s="166">
        <f t="shared" si="4"/>
        <v>75</v>
      </c>
      <c r="L77" s="94" t="s">
        <v>2165</v>
      </c>
      <c r="M77" s="95">
        <v>6</v>
      </c>
      <c r="N77" s="95">
        <v>2</v>
      </c>
      <c r="O77" s="457" t="s">
        <v>2114</v>
      </c>
      <c r="P77" s="95">
        <v>9</v>
      </c>
      <c r="Q77" s="95" t="s">
        <v>220</v>
      </c>
      <c r="R77" s="95" t="s">
        <v>863</v>
      </c>
      <c r="S77" s="95" t="s">
        <v>888</v>
      </c>
      <c r="T77" s="97" t="s">
        <v>1568</v>
      </c>
      <c r="U77" s="166">
        <f t="shared" si="5"/>
        <v>75</v>
      </c>
      <c r="V77" s="500" t="s">
        <v>2553</v>
      </c>
      <c r="W77" s="95">
        <v>6</v>
      </c>
      <c r="X77" s="95">
        <v>3</v>
      </c>
      <c r="Y77" s="456" t="s">
        <v>428</v>
      </c>
      <c r="Z77" s="95" t="s">
        <v>780</v>
      </c>
      <c r="AA77" s="95" t="s">
        <v>174</v>
      </c>
      <c r="AB77" s="96" t="s">
        <v>865</v>
      </c>
      <c r="AC77" s="95" t="s">
        <v>888</v>
      </c>
      <c r="AD77" s="543" t="s">
        <v>1592</v>
      </c>
      <c r="AE77" s="95">
        <f t="shared" si="6"/>
        <v>75</v>
      </c>
      <c r="AF77" s="94" t="s">
        <v>2327</v>
      </c>
      <c r="AG77" s="95">
        <v>7</v>
      </c>
      <c r="AH77" s="95">
        <v>1</v>
      </c>
      <c r="AI77" s="457" t="s">
        <v>2323</v>
      </c>
      <c r="AJ77" s="95" t="s">
        <v>780</v>
      </c>
      <c r="AK77" s="95" t="s">
        <v>185</v>
      </c>
      <c r="AL77" s="95" t="s">
        <v>867</v>
      </c>
      <c r="AM77" s="95" t="s">
        <v>888</v>
      </c>
      <c r="AN77" s="97" t="s">
        <v>1614</v>
      </c>
    </row>
    <row r="78" spans="1:40" ht="12.75">
      <c r="A78" s="166">
        <f t="shared" si="7"/>
        <v>76</v>
      </c>
      <c r="B78" s="94" t="s">
        <v>445</v>
      </c>
      <c r="C78" s="95">
        <v>5</v>
      </c>
      <c r="D78" s="95">
        <v>1</v>
      </c>
      <c r="E78" s="456" t="s">
        <v>352</v>
      </c>
      <c r="F78" s="95" t="s">
        <v>780</v>
      </c>
      <c r="G78" s="95" t="s">
        <v>185</v>
      </c>
      <c r="H78" s="96" t="s">
        <v>859</v>
      </c>
      <c r="I78" s="95" t="s">
        <v>890</v>
      </c>
      <c r="J78" s="97" t="s">
        <v>1542</v>
      </c>
      <c r="K78" s="166">
        <f t="shared" si="4"/>
        <v>76</v>
      </c>
      <c r="L78" s="94" t="s">
        <v>446</v>
      </c>
      <c r="M78" s="95">
        <v>6</v>
      </c>
      <c r="N78" s="95">
        <v>2</v>
      </c>
      <c r="O78" s="456" t="s">
        <v>447</v>
      </c>
      <c r="P78" s="95" t="s">
        <v>780</v>
      </c>
      <c r="Q78" s="95" t="s">
        <v>194</v>
      </c>
      <c r="R78" s="96" t="s">
        <v>870</v>
      </c>
      <c r="S78" s="95" t="s">
        <v>888</v>
      </c>
      <c r="T78" s="97" t="s">
        <v>1570</v>
      </c>
      <c r="U78" s="166">
        <f t="shared" si="5"/>
        <v>76</v>
      </c>
      <c r="V78" s="500" t="s">
        <v>476</v>
      </c>
      <c r="W78" s="95">
        <v>6</v>
      </c>
      <c r="X78" s="95">
        <v>1</v>
      </c>
      <c r="Y78" s="456" t="s">
        <v>313</v>
      </c>
      <c r="Z78" s="95" t="s">
        <v>780</v>
      </c>
      <c r="AA78" s="95" t="s">
        <v>174</v>
      </c>
      <c r="AB78" s="96" t="s">
        <v>881</v>
      </c>
      <c r="AC78" s="96" t="s">
        <v>1131</v>
      </c>
      <c r="AD78" s="543" t="s">
        <v>1592</v>
      </c>
      <c r="AE78" s="95">
        <f t="shared" si="6"/>
        <v>76</v>
      </c>
      <c r="AF78" s="94" t="s">
        <v>493</v>
      </c>
      <c r="AG78" s="95">
        <v>7</v>
      </c>
      <c r="AH78" s="95">
        <v>4</v>
      </c>
      <c r="AI78" s="456" t="s">
        <v>494</v>
      </c>
      <c r="AJ78" s="95" t="s">
        <v>780</v>
      </c>
      <c r="AK78" s="96" t="s">
        <v>194</v>
      </c>
      <c r="AL78" s="96" t="s">
        <v>867</v>
      </c>
      <c r="AM78" s="96" t="s">
        <v>894</v>
      </c>
      <c r="AN78" s="97" t="s">
        <v>1613</v>
      </c>
    </row>
    <row r="79" spans="1:40" ht="12.75">
      <c r="A79" s="166">
        <f t="shared" si="7"/>
        <v>77</v>
      </c>
      <c r="B79" s="94" t="s">
        <v>451</v>
      </c>
      <c r="C79" s="95">
        <v>6</v>
      </c>
      <c r="D79" s="95">
        <v>2</v>
      </c>
      <c r="E79" s="456" t="s">
        <v>352</v>
      </c>
      <c r="F79" s="95" t="s">
        <v>780</v>
      </c>
      <c r="G79" s="95" t="s">
        <v>323</v>
      </c>
      <c r="H79" s="96" t="s">
        <v>863</v>
      </c>
      <c r="I79" s="96" t="s">
        <v>891</v>
      </c>
      <c r="J79" s="97" t="s">
        <v>1542</v>
      </c>
      <c r="K79" s="166">
        <f t="shared" si="4"/>
        <v>77</v>
      </c>
      <c r="L79" s="94" t="s">
        <v>2166</v>
      </c>
      <c r="M79" s="95">
        <v>6</v>
      </c>
      <c r="N79" s="95">
        <v>3</v>
      </c>
      <c r="O79" s="457" t="s">
        <v>468</v>
      </c>
      <c r="P79" s="95" t="s">
        <v>780</v>
      </c>
      <c r="Q79" s="95" t="s">
        <v>1862</v>
      </c>
      <c r="R79" s="95" t="s">
        <v>858</v>
      </c>
      <c r="S79" s="95" t="s">
        <v>1128</v>
      </c>
      <c r="T79" s="97" t="s">
        <v>1568</v>
      </c>
      <c r="U79" s="166">
        <f t="shared" si="5"/>
        <v>77</v>
      </c>
      <c r="V79" s="500" t="s">
        <v>2239</v>
      </c>
      <c r="W79" s="95">
        <v>6</v>
      </c>
      <c r="X79" s="95">
        <v>2</v>
      </c>
      <c r="Y79" s="457" t="s">
        <v>468</v>
      </c>
      <c r="Z79" s="95">
        <v>6</v>
      </c>
      <c r="AA79" s="95" t="s">
        <v>205</v>
      </c>
      <c r="AB79" s="95" t="s">
        <v>858</v>
      </c>
      <c r="AC79" s="95" t="s">
        <v>896</v>
      </c>
      <c r="AD79" s="543" t="s">
        <v>1591</v>
      </c>
      <c r="AE79" s="95">
        <f t="shared" si="6"/>
        <v>77</v>
      </c>
      <c r="AF79" s="94" t="s">
        <v>2328</v>
      </c>
      <c r="AG79" s="95">
        <v>7</v>
      </c>
      <c r="AH79" s="95">
        <v>3</v>
      </c>
      <c r="AI79" s="457" t="s">
        <v>2130</v>
      </c>
      <c r="AJ79" s="95" t="s">
        <v>780</v>
      </c>
      <c r="AK79" s="95" t="s">
        <v>238</v>
      </c>
      <c r="AL79" s="95" t="s">
        <v>1858</v>
      </c>
      <c r="AM79" s="95" t="s">
        <v>1132</v>
      </c>
      <c r="AN79" s="97" t="s">
        <v>1614</v>
      </c>
    </row>
    <row r="80" spans="1:40" ht="12.75">
      <c r="A80" s="166">
        <f t="shared" si="7"/>
        <v>78</v>
      </c>
      <c r="B80" s="94" t="s">
        <v>457</v>
      </c>
      <c r="C80" s="95">
        <v>6</v>
      </c>
      <c r="D80" s="95">
        <v>1</v>
      </c>
      <c r="E80" s="456" t="s">
        <v>434</v>
      </c>
      <c r="F80" s="95" t="s">
        <v>780</v>
      </c>
      <c r="G80" s="95" t="s">
        <v>174</v>
      </c>
      <c r="H80" s="96" t="s">
        <v>867</v>
      </c>
      <c r="I80" s="96" t="s">
        <v>1152</v>
      </c>
      <c r="J80" s="97" t="s">
        <v>1542</v>
      </c>
      <c r="K80" s="166">
        <f t="shared" si="4"/>
        <v>78</v>
      </c>
      <c r="L80" s="94" t="s">
        <v>452</v>
      </c>
      <c r="M80" s="95">
        <v>6</v>
      </c>
      <c r="N80" s="95">
        <v>2</v>
      </c>
      <c r="O80" s="456" t="s">
        <v>453</v>
      </c>
      <c r="P80" s="95" t="s">
        <v>780</v>
      </c>
      <c r="Q80" s="95" t="s">
        <v>323</v>
      </c>
      <c r="R80" s="96" t="s">
        <v>862</v>
      </c>
      <c r="S80" s="96" t="s">
        <v>892</v>
      </c>
      <c r="T80" s="97" t="s">
        <v>1570</v>
      </c>
      <c r="U80" s="166">
        <f t="shared" si="5"/>
        <v>78</v>
      </c>
      <c r="V80" s="500" t="s">
        <v>2240</v>
      </c>
      <c r="W80" s="95">
        <v>7</v>
      </c>
      <c r="X80" s="95">
        <v>3</v>
      </c>
      <c r="Y80" s="457" t="s">
        <v>2241</v>
      </c>
      <c r="Z80" s="95" t="s">
        <v>780</v>
      </c>
      <c r="AA80" s="95" t="s">
        <v>238</v>
      </c>
      <c r="AB80" s="95" t="s">
        <v>1859</v>
      </c>
      <c r="AC80" s="95" t="s">
        <v>888</v>
      </c>
      <c r="AD80" s="543" t="s">
        <v>1591</v>
      </c>
      <c r="AE80" s="95">
        <f t="shared" si="6"/>
        <v>78</v>
      </c>
      <c r="AF80" s="94" t="s">
        <v>500</v>
      </c>
      <c r="AG80" s="95">
        <v>7</v>
      </c>
      <c r="AH80" s="95" t="s">
        <v>178</v>
      </c>
      <c r="AI80" s="456" t="s">
        <v>501</v>
      </c>
      <c r="AJ80" s="95" t="s">
        <v>780</v>
      </c>
      <c r="AK80" s="95" t="s">
        <v>194</v>
      </c>
      <c r="AL80" s="95" t="s">
        <v>860</v>
      </c>
      <c r="AM80" s="96" t="s">
        <v>888</v>
      </c>
      <c r="AN80" s="97" t="s">
        <v>1613</v>
      </c>
    </row>
    <row r="81" spans="1:40" ht="12.75">
      <c r="A81" s="166">
        <f t="shared" si="7"/>
        <v>79</v>
      </c>
      <c r="B81" s="94" t="s">
        <v>2112</v>
      </c>
      <c r="C81" s="95">
        <v>6</v>
      </c>
      <c r="D81" s="95">
        <v>2</v>
      </c>
      <c r="E81" s="457" t="s">
        <v>468</v>
      </c>
      <c r="F81" s="95" t="s">
        <v>780</v>
      </c>
      <c r="G81" s="95" t="s">
        <v>174</v>
      </c>
      <c r="H81" s="95" t="s">
        <v>2394</v>
      </c>
      <c r="I81" s="95" t="s">
        <v>895</v>
      </c>
      <c r="J81" s="97" t="s">
        <v>1544</v>
      </c>
      <c r="K81" s="166">
        <f t="shared" si="4"/>
        <v>79</v>
      </c>
      <c r="L81" s="94" t="s">
        <v>2167</v>
      </c>
      <c r="M81" s="95">
        <v>6</v>
      </c>
      <c r="N81" s="95">
        <v>3</v>
      </c>
      <c r="O81" s="457" t="s">
        <v>2114</v>
      </c>
      <c r="P81" s="95" t="s">
        <v>780</v>
      </c>
      <c r="Q81" s="95" t="s">
        <v>238</v>
      </c>
      <c r="R81" s="95" t="s">
        <v>858</v>
      </c>
      <c r="S81" s="95" t="s">
        <v>896</v>
      </c>
      <c r="T81" s="97" t="s">
        <v>1571</v>
      </c>
      <c r="U81" s="166">
        <f t="shared" si="5"/>
        <v>79</v>
      </c>
      <c r="V81" s="500" t="s">
        <v>2242</v>
      </c>
      <c r="W81" s="95">
        <v>7</v>
      </c>
      <c r="X81" s="95">
        <v>2</v>
      </c>
      <c r="Y81" s="457" t="s">
        <v>395</v>
      </c>
      <c r="Z81" s="95">
        <v>8</v>
      </c>
      <c r="AA81" s="95" t="s">
        <v>182</v>
      </c>
      <c r="AB81" s="95" t="s">
        <v>867</v>
      </c>
      <c r="AC81" s="95" t="s">
        <v>896</v>
      </c>
      <c r="AD81" s="543" t="s">
        <v>1591</v>
      </c>
      <c r="AE81" s="95">
        <f t="shared" si="6"/>
        <v>79</v>
      </c>
      <c r="AF81" s="94" t="s">
        <v>2329</v>
      </c>
      <c r="AG81" s="95">
        <v>7</v>
      </c>
      <c r="AH81" s="95">
        <v>3</v>
      </c>
      <c r="AI81" s="457" t="s">
        <v>486</v>
      </c>
      <c r="AJ81" s="95" t="s">
        <v>780</v>
      </c>
      <c r="AK81" s="95" t="s">
        <v>238</v>
      </c>
      <c r="AL81" s="95" t="s">
        <v>862</v>
      </c>
      <c r="AM81" s="95" t="s">
        <v>2260</v>
      </c>
      <c r="AN81" s="97" t="s">
        <v>1614</v>
      </c>
    </row>
    <row r="82" spans="1:40" ht="12.75">
      <c r="A82" s="166">
        <f t="shared" si="7"/>
        <v>80</v>
      </c>
      <c r="B82" s="94" t="s">
        <v>461</v>
      </c>
      <c r="C82" s="95">
        <v>6</v>
      </c>
      <c r="D82" s="95">
        <v>4</v>
      </c>
      <c r="E82" s="456" t="s">
        <v>377</v>
      </c>
      <c r="F82" s="95" t="s">
        <v>780</v>
      </c>
      <c r="G82" s="95" t="s">
        <v>323</v>
      </c>
      <c r="H82" s="95" t="s">
        <v>864</v>
      </c>
      <c r="I82" s="96" t="s">
        <v>1128</v>
      </c>
      <c r="J82" s="97" t="s">
        <v>1542</v>
      </c>
      <c r="K82" s="166">
        <f t="shared" si="4"/>
        <v>80</v>
      </c>
      <c r="L82" s="94" t="s">
        <v>2168</v>
      </c>
      <c r="M82" s="95">
        <v>7</v>
      </c>
      <c r="N82" s="95">
        <v>3</v>
      </c>
      <c r="O82" s="457" t="s">
        <v>2130</v>
      </c>
      <c r="P82" s="95" t="s">
        <v>780</v>
      </c>
      <c r="Q82" s="95" t="s">
        <v>515</v>
      </c>
      <c r="R82" s="95" t="s">
        <v>862</v>
      </c>
      <c r="S82" s="95" t="s">
        <v>1140</v>
      </c>
      <c r="T82" s="97" t="s">
        <v>1571</v>
      </c>
      <c r="U82" s="166">
        <f t="shared" si="5"/>
        <v>80</v>
      </c>
      <c r="V82" s="500" t="s">
        <v>2243</v>
      </c>
      <c r="W82" s="95">
        <v>7</v>
      </c>
      <c r="X82" s="95">
        <v>3</v>
      </c>
      <c r="Y82" s="457" t="s">
        <v>377</v>
      </c>
      <c r="Z82" s="95" t="s">
        <v>780</v>
      </c>
      <c r="AA82" s="95" t="s">
        <v>174</v>
      </c>
      <c r="AB82" s="95" t="s">
        <v>2244</v>
      </c>
      <c r="AC82" s="95" t="s">
        <v>1136</v>
      </c>
      <c r="AD82" s="543" t="s">
        <v>1591</v>
      </c>
      <c r="AE82" s="95">
        <f t="shared" si="6"/>
        <v>80</v>
      </c>
      <c r="AF82" s="94" t="s">
        <v>507</v>
      </c>
      <c r="AG82" s="95">
        <v>7</v>
      </c>
      <c r="AH82" s="95">
        <v>3</v>
      </c>
      <c r="AI82" s="456" t="s">
        <v>352</v>
      </c>
      <c r="AJ82" s="95" t="s">
        <v>780</v>
      </c>
      <c r="AK82" s="95" t="s">
        <v>323</v>
      </c>
      <c r="AL82" s="96" t="s">
        <v>508</v>
      </c>
      <c r="AM82" s="95" t="s">
        <v>1133</v>
      </c>
      <c r="AN82" s="97" t="s">
        <v>1615</v>
      </c>
    </row>
    <row r="83" spans="1:40" ht="12.75">
      <c r="A83" s="166">
        <f t="shared" si="7"/>
        <v>81</v>
      </c>
      <c r="B83" s="94" t="s">
        <v>2113</v>
      </c>
      <c r="C83" s="95">
        <v>6</v>
      </c>
      <c r="D83" s="95">
        <v>2</v>
      </c>
      <c r="E83" s="457" t="s">
        <v>2114</v>
      </c>
      <c r="F83" s="95">
        <v>6</v>
      </c>
      <c r="G83" s="95" t="s">
        <v>216</v>
      </c>
      <c r="H83" s="95" t="s">
        <v>863</v>
      </c>
      <c r="I83" s="95" t="s">
        <v>891</v>
      </c>
      <c r="J83" s="97" t="s">
        <v>1544</v>
      </c>
      <c r="K83" s="166">
        <f t="shared" si="4"/>
        <v>81</v>
      </c>
      <c r="L83" s="94" t="s">
        <v>2169</v>
      </c>
      <c r="M83" s="95">
        <v>7</v>
      </c>
      <c r="N83" s="95">
        <v>4</v>
      </c>
      <c r="O83" s="457" t="s">
        <v>486</v>
      </c>
      <c r="P83" s="95" t="s">
        <v>780</v>
      </c>
      <c r="Q83" s="95" t="s">
        <v>174</v>
      </c>
      <c r="R83" s="95" t="s">
        <v>2170</v>
      </c>
      <c r="S83" s="95" t="s">
        <v>2171</v>
      </c>
      <c r="T83" s="97" t="s">
        <v>1571</v>
      </c>
      <c r="U83" s="166">
        <f t="shared" si="5"/>
        <v>81</v>
      </c>
      <c r="V83" s="500" t="s">
        <v>2245</v>
      </c>
      <c r="W83" s="95">
        <v>7</v>
      </c>
      <c r="X83" s="95">
        <v>3</v>
      </c>
      <c r="Y83" s="457" t="s">
        <v>426</v>
      </c>
      <c r="Z83" s="95" t="s">
        <v>780</v>
      </c>
      <c r="AA83" s="95" t="s">
        <v>205</v>
      </c>
      <c r="AB83" s="95" t="s">
        <v>2246</v>
      </c>
      <c r="AC83" s="95" t="s">
        <v>888</v>
      </c>
      <c r="AD83" s="543" t="s">
        <v>1593</v>
      </c>
      <c r="AE83" s="95">
        <f t="shared" si="6"/>
        <v>81</v>
      </c>
      <c r="AF83" s="94" t="s">
        <v>2331</v>
      </c>
      <c r="AG83" s="95">
        <v>8</v>
      </c>
      <c r="AH83" s="95">
        <v>2</v>
      </c>
      <c r="AI83" s="457" t="s">
        <v>529</v>
      </c>
      <c r="AJ83" s="95" t="s">
        <v>780</v>
      </c>
      <c r="AK83" s="95" t="s">
        <v>220</v>
      </c>
      <c r="AL83" s="95" t="s">
        <v>868</v>
      </c>
      <c r="AM83" s="95" t="s">
        <v>1132</v>
      </c>
      <c r="AN83" s="97" t="s">
        <v>1616</v>
      </c>
    </row>
    <row r="84" spans="1:40" ht="12.75">
      <c r="A84" s="166">
        <f t="shared" si="7"/>
        <v>82</v>
      </c>
      <c r="B84" s="94" t="s">
        <v>467</v>
      </c>
      <c r="C84" s="95">
        <v>6</v>
      </c>
      <c r="D84" s="95" t="s">
        <v>359</v>
      </c>
      <c r="E84" s="456" t="s">
        <v>468</v>
      </c>
      <c r="F84" s="95" t="s">
        <v>780</v>
      </c>
      <c r="G84" s="95" t="s">
        <v>442</v>
      </c>
      <c r="H84" s="96" t="s">
        <v>868</v>
      </c>
      <c r="I84" s="95" t="s">
        <v>888</v>
      </c>
      <c r="J84" s="97" t="s">
        <v>1545</v>
      </c>
      <c r="K84" s="166">
        <f t="shared" si="4"/>
        <v>82</v>
      </c>
      <c r="L84" s="94" t="s">
        <v>458</v>
      </c>
      <c r="M84" s="95">
        <v>7</v>
      </c>
      <c r="N84" s="95">
        <v>5</v>
      </c>
      <c r="O84" s="456" t="s">
        <v>387</v>
      </c>
      <c r="P84" s="95" t="s">
        <v>780</v>
      </c>
      <c r="Q84" s="95" t="s">
        <v>174</v>
      </c>
      <c r="R84" s="96" t="s">
        <v>878</v>
      </c>
      <c r="S84" s="96" t="s">
        <v>1145</v>
      </c>
      <c r="T84" s="97" t="s">
        <v>1570</v>
      </c>
      <c r="U84" s="166">
        <f t="shared" si="5"/>
        <v>82</v>
      </c>
      <c r="V84" s="500" t="s">
        <v>2247</v>
      </c>
      <c r="W84" s="95">
        <v>7</v>
      </c>
      <c r="X84" s="95">
        <v>8</v>
      </c>
      <c r="Y84" s="457" t="s">
        <v>527</v>
      </c>
      <c r="Z84" s="95">
        <v>8</v>
      </c>
      <c r="AA84" s="95" t="s">
        <v>174</v>
      </c>
      <c r="AB84" s="95" t="s">
        <v>2248</v>
      </c>
      <c r="AC84" s="95" t="s">
        <v>2249</v>
      </c>
      <c r="AD84" s="543" t="s">
        <v>1593</v>
      </c>
      <c r="AE84" s="95">
        <f t="shared" si="6"/>
        <v>82</v>
      </c>
      <c r="AF84" s="94" t="s">
        <v>511</v>
      </c>
      <c r="AG84" s="95">
        <v>8</v>
      </c>
      <c r="AH84" s="95">
        <v>4</v>
      </c>
      <c r="AI84" s="456" t="s">
        <v>426</v>
      </c>
      <c r="AJ84" s="95" t="s">
        <v>780</v>
      </c>
      <c r="AK84" s="95" t="s">
        <v>182</v>
      </c>
      <c r="AL84" s="95" t="s">
        <v>512</v>
      </c>
      <c r="AM84" s="96" t="s">
        <v>1132</v>
      </c>
      <c r="AN84" s="97" t="s">
        <v>1615</v>
      </c>
    </row>
    <row r="85" spans="1:40" ht="12.75">
      <c r="A85" s="166">
        <f t="shared" si="7"/>
        <v>83</v>
      </c>
      <c r="B85" s="94" t="s">
        <v>2115</v>
      </c>
      <c r="C85" s="95">
        <v>6</v>
      </c>
      <c r="D85" s="95">
        <v>2</v>
      </c>
      <c r="E85" s="457" t="s">
        <v>519</v>
      </c>
      <c r="F85" s="95" t="s">
        <v>780</v>
      </c>
      <c r="G85" s="95" t="s">
        <v>197</v>
      </c>
      <c r="H85" s="95" t="s">
        <v>860</v>
      </c>
      <c r="I85" s="95" t="s">
        <v>1132</v>
      </c>
      <c r="J85" s="97" t="s">
        <v>1544</v>
      </c>
      <c r="K85" s="166">
        <f t="shared" si="4"/>
        <v>83</v>
      </c>
      <c r="L85" s="94" t="s">
        <v>462</v>
      </c>
      <c r="M85" s="95">
        <v>7</v>
      </c>
      <c r="N85" s="95">
        <v>1</v>
      </c>
      <c r="O85" s="456" t="s">
        <v>463</v>
      </c>
      <c r="P85" s="95" t="s">
        <v>780</v>
      </c>
      <c r="Q85" s="95" t="s">
        <v>185</v>
      </c>
      <c r="R85" s="95" t="s">
        <v>860</v>
      </c>
      <c r="S85" s="96" t="s">
        <v>890</v>
      </c>
      <c r="T85" s="97" t="s">
        <v>1570</v>
      </c>
      <c r="U85" s="166">
        <f t="shared" si="5"/>
        <v>83</v>
      </c>
      <c r="V85" s="500" t="s">
        <v>483</v>
      </c>
      <c r="W85" s="95">
        <v>7</v>
      </c>
      <c r="X85" s="95" t="s">
        <v>178</v>
      </c>
      <c r="Y85" s="456" t="s">
        <v>484</v>
      </c>
      <c r="Z85" s="95" t="s">
        <v>780</v>
      </c>
      <c r="AA85" s="95" t="s">
        <v>182</v>
      </c>
      <c r="AB85" s="95" t="s">
        <v>858</v>
      </c>
      <c r="AC85" s="96" t="s">
        <v>896</v>
      </c>
      <c r="AD85" s="543" t="s">
        <v>1592</v>
      </c>
      <c r="AE85" s="95">
        <f t="shared" si="6"/>
        <v>83</v>
      </c>
      <c r="AF85" s="94" t="s">
        <v>518</v>
      </c>
      <c r="AG85" s="95">
        <v>8</v>
      </c>
      <c r="AH85" s="95">
        <v>3</v>
      </c>
      <c r="AI85" s="456" t="s">
        <v>519</v>
      </c>
      <c r="AJ85" s="95" t="s">
        <v>780</v>
      </c>
      <c r="AK85" s="95" t="s">
        <v>442</v>
      </c>
      <c r="AL85" s="96" t="s">
        <v>867</v>
      </c>
      <c r="AM85" s="95" t="s">
        <v>892</v>
      </c>
      <c r="AN85" s="97" t="s">
        <v>1615</v>
      </c>
    </row>
    <row r="86" spans="1:40" ht="12.75">
      <c r="A86" s="166">
        <f t="shared" si="7"/>
        <v>84</v>
      </c>
      <c r="B86" s="94" t="s">
        <v>474</v>
      </c>
      <c r="C86" s="95">
        <v>6</v>
      </c>
      <c r="D86" s="95">
        <v>3</v>
      </c>
      <c r="E86" s="456" t="s">
        <v>434</v>
      </c>
      <c r="F86" s="95" t="s">
        <v>780</v>
      </c>
      <c r="G86" s="95" t="s">
        <v>323</v>
      </c>
      <c r="H86" s="96" t="s">
        <v>873</v>
      </c>
      <c r="I86" s="96" t="s">
        <v>1128</v>
      </c>
      <c r="J86" s="97" t="s">
        <v>1545</v>
      </c>
      <c r="K86" s="166">
        <f t="shared" si="4"/>
        <v>84</v>
      </c>
      <c r="L86" s="94" t="s">
        <v>2172</v>
      </c>
      <c r="M86" s="95">
        <v>7</v>
      </c>
      <c r="N86" s="95">
        <v>2</v>
      </c>
      <c r="O86" s="457" t="s">
        <v>486</v>
      </c>
      <c r="P86" s="95" t="s">
        <v>780</v>
      </c>
      <c r="Q86" s="95" t="s">
        <v>197</v>
      </c>
      <c r="R86" s="95" t="s">
        <v>862</v>
      </c>
      <c r="S86" s="95" t="s">
        <v>896</v>
      </c>
      <c r="T86" s="97" t="s">
        <v>1571</v>
      </c>
      <c r="U86" s="166">
        <f t="shared" si="5"/>
        <v>84</v>
      </c>
      <c r="V86" s="500" t="s">
        <v>2250</v>
      </c>
      <c r="W86" s="95">
        <v>7</v>
      </c>
      <c r="X86" s="95">
        <v>2</v>
      </c>
      <c r="Y86" s="457" t="s">
        <v>486</v>
      </c>
      <c r="Z86" s="95" t="s">
        <v>780</v>
      </c>
      <c r="AA86" s="95" t="s">
        <v>220</v>
      </c>
      <c r="AB86" s="95" t="s">
        <v>2251</v>
      </c>
      <c r="AC86" s="95" t="s">
        <v>888</v>
      </c>
      <c r="AD86" s="543" t="s">
        <v>1593</v>
      </c>
      <c r="AE86" s="95">
        <f t="shared" si="6"/>
        <v>84</v>
      </c>
      <c r="AF86" s="94" t="s">
        <v>524</v>
      </c>
      <c r="AG86" s="95">
        <v>8</v>
      </c>
      <c r="AH86" s="95">
        <v>2</v>
      </c>
      <c r="AI86" s="456" t="s">
        <v>492</v>
      </c>
      <c r="AJ86" s="95" t="s">
        <v>780</v>
      </c>
      <c r="AK86" s="95" t="s">
        <v>174</v>
      </c>
      <c r="AL86" s="96" t="s">
        <v>865</v>
      </c>
      <c r="AM86" s="96" t="s">
        <v>890</v>
      </c>
      <c r="AN86" s="97" t="s">
        <v>1615</v>
      </c>
    </row>
    <row r="87" spans="1:40" ht="12.75">
      <c r="A87" s="166">
        <f t="shared" si="7"/>
        <v>85</v>
      </c>
      <c r="B87" s="94" t="s">
        <v>2116</v>
      </c>
      <c r="C87" s="95">
        <v>6</v>
      </c>
      <c r="D87" s="95">
        <v>3</v>
      </c>
      <c r="E87" s="457" t="s">
        <v>2117</v>
      </c>
      <c r="F87" s="95" t="s">
        <v>780</v>
      </c>
      <c r="G87" s="95" t="s">
        <v>220</v>
      </c>
      <c r="H87" s="95" t="s">
        <v>1859</v>
      </c>
      <c r="I87" s="95" t="s">
        <v>1152</v>
      </c>
      <c r="J87" s="97" t="s">
        <v>1546</v>
      </c>
      <c r="K87" s="166">
        <f t="shared" si="4"/>
        <v>85</v>
      </c>
      <c r="L87" s="94" t="s">
        <v>2173</v>
      </c>
      <c r="M87" s="95">
        <v>7</v>
      </c>
      <c r="N87" s="95">
        <v>4</v>
      </c>
      <c r="O87" s="457" t="s">
        <v>478</v>
      </c>
      <c r="P87" s="95" t="s">
        <v>780</v>
      </c>
      <c r="Q87" s="95" t="s">
        <v>194</v>
      </c>
      <c r="R87" s="96" t="s">
        <v>2158</v>
      </c>
      <c r="S87" s="95" t="s">
        <v>1151</v>
      </c>
      <c r="T87" s="97" t="s">
        <v>1571</v>
      </c>
      <c r="U87" s="166">
        <f t="shared" si="5"/>
        <v>85</v>
      </c>
      <c r="V87" s="500" t="s">
        <v>2252</v>
      </c>
      <c r="W87" s="95">
        <v>7</v>
      </c>
      <c r="X87" s="95">
        <v>3</v>
      </c>
      <c r="Y87" s="457" t="s">
        <v>486</v>
      </c>
      <c r="Z87" s="95" t="s">
        <v>780</v>
      </c>
      <c r="AA87" s="95" t="s">
        <v>366</v>
      </c>
      <c r="AB87" s="95" t="s">
        <v>2253</v>
      </c>
      <c r="AC87" s="95" t="s">
        <v>1125</v>
      </c>
      <c r="AD87" s="543" t="s">
        <v>1593</v>
      </c>
      <c r="AE87" s="95">
        <f t="shared" si="6"/>
        <v>85</v>
      </c>
      <c r="AF87" s="94" t="s">
        <v>2332</v>
      </c>
      <c r="AG87" s="95">
        <v>8</v>
      </c>
      <c r="AH87" s="95">
        <v>3</v>
      </c>
      <c r="AI87" s="457" t="s">
        <v>498</v>
      </c>
      <c r="AJ87" s="95" t="s">
        <v>780</v>
      </c>
      <c r="AK87" s="95" t="s">
        <v>174</v>
      </c>
      <c r="AL87" s="95" t="s">
        <v>867</v>
      </c>
      <c r="AM87" s="95" t="s">
        <v>889</v>
      </c>
      <c r="AN87" s="97" t="s">
        <v>1616</v>
      </c>
    </row>
    <row r="88" spans="1:40" ht="12.75">
      <c r="A88" s="166">
        <f t="shared" si="7"/>
        <v>86</v>
      </c>
      <c r="B88" s="94" t="s">
        <v>2118</v>
      </c>
      <c r="C88" s="95">
        <v>7</v>
      </c>
      <c r="D88" s="95">
        <v>2</v>
      </c>
      <c r="E88" s="457" t="s">
        <v>2117</v>
      </c>
      <c r="F88" s="95" t="s">
        <v>780</v>
      </c>
      <c r="G88" s="95" t="s">
        <v>220</v>
      </c>
      <c r="H88" s="95" t="s">
        <v>2119</v>
      </c>
      <c r="I88" s="95" t="s">
        <v>889</v>
      </c>
      <c r="J88" s="97" t="s">
        <v>1546</v>
      </c>
      <c r="K88" s="166">
        <f t="shared" si="4"/>
        <v>86</v>
      </c>
      <c r="L88" s="94" t="s">
        <v>2174</v>
      </c>
      <c r="M88" s="95">
        <v>7</v>
      </c>
      <c r="N88" s="95">
        <v>4</v>
      </c>
      <c r="O88" s="457" t="s">
        <v>2175</v>
      </c>
      <c r="P88" s="95">
        <v>2</v>
      </c>
      <c r="Q88" s="95" t="s">
        <v>185</v>
      </c>
      <c r="R88" s="95" t="s">
        <v>863</v>
      </c>
      <c r="S88" s="95" t="s">
        <v>1142</v>
      </c>
      <c r="T88" s="97" t="s">
        <v>1571</v>
      </c>
      <c r="U88" s="166">
        <f t="shared" si="5"/>
        <v>86</v>
      </c>
      <c r="V88" s="500" t="s">
        <v>491</v>
      </c>
      <c r="W88" s="95">
        <v>7</v>
      </c>
      <c r="X88" s="95">
        <v>2</v>
      </c>
      <c r="Y88" s="456" t="s">
        <v>492</v>
      </c>
      <c r="Z88" s="95" t="s">
        <v>780</v>
      </c>
      <c r="AA88" s="96" t="s">
        <v>182</v>
      </c>
      <c r="AB88" s="96" t="s">
        <v>868</v>
      </c>
      <c r="AC88" s="96" t="s">
        <v>891</v>
      </c>
      <c r="AD88" s="543" t="s">
        <v>1592</v>
      </c>
      <c r="AE88" s="95">
        <f t="shared" si="6"/>
        <v>86</v>
      </c>
      <c r="AF88" s="94" t="s">
        <v>532</v>
      </c>
      <c r="AG88" s="95">
        <v>8</v>
      </c>
      <c r="AH88" s="95">
        <v>2</v>
      </c>
      <c r="AI88" s="456" t="s">
        <v>468</v>
      </c>
      <c r="AJ88" s="95" t="s">
        <v>780</v>
      </c>
      <c r="AK88" s="95" t="s">
        <v>226</v>
      </c>
      <c r="AL88" s="96" t="s">
        <v>862</v>
      </c>
      <c r="AM88" s="95" t="s">
        <v>894</v>
      </c>
      <c r="AN88" s="97" t="s">
        <v>1615</v>
      </c>
    </row>
    <row r="89" spans="1:40" ht="12.75">
      <c r="A89" s="166">
        <f t="shared" si="7"/>
        <v>87</v>
      </c>
      <c r="B89" s="94" t="s">
        <v>479</v>
      </c>
      <c r="C89" s="95">
        <v>7</v>
      </c>
      <c r="D89" s="95">
        <v>4</v>
      </c>
      <c r="E89" s="456" t="s">
        <v>371</v>
      </c>
      <c r="F89" s="95" t="s">
        <v>780</v>
      </c>
      <c r="G89" s="95" t="s">
        <v>480</v>
      </c>
      <c r="H89" s="95" t="s">
        <v>866</v>
      </c>
      <c r="I89" s="96" t="s">
        <v>1128</v>
      </c>
      <c r="J89" s="97" t="s">
        <v>1545</v>
      </c>
      <c r="K89" s="166">
        <f t="shared" si="4"/>
        <v>87</v>
      </c>
      <c r="L89" s="94" t="s">
        <v>469</v>
      </c>
      <c r="M89" s="95">
        <v>7</v>
      </c>
      <c r="N89" s="95">
        <v>1</v>
      </c>
      <c r="O89" s="456" t="s">
        <v>471</v>
      </c>
      <c r="P89" s="95" t="s">
        <v>780</v>
      </c>
      <c r="Q89" s="95" t="s">
        <v>185</v>
      </c>
      <c r="R89" s="96" t="s">
        <v>470</v>
      </c>
      <c r="S89" s="95" t="s">
        <v>891</v>
      </c>
      <c r="T89" s="97" t="s">
        <v>1572</v>
      </c>
      <c r="U89" s="166">
        <f t="shared" si="5"/>
        <v>87</v>
      </c>
      <c r="V89" s="500" t="s">
        <v>499</v>
      </c>
      <c r="W89" s="95">
        <v>7</v>
      </c>
      <c r="X89" s="95">
        <v>3</v>
      </c>
      <c r="Y89" s="456" t="s">
        <v>404</v>
      </c>
      <c r="Z89" s="95" t="s">
        <v>780</v>
      </c>
      <c r="AA89" s="95" t="s">
        <v>174</v>
      </c>
      <c r="AB89" s="95" t="s">
        <v>864</v>
      </c>
      <c r="AC89" s="96" t="s">
        <v>896</v>
      </c>
      <c r="AD89" s="543" t="s">
        <v>1594</v>
      </c>
      <c r="AE89" s="95">
        <f t="shared" si="6"/>
        <v>87</v>
      </c>
      <c r="AF89" s="94" t="s">
        <v>2333</v>
      </c>
      <c r="AG89" s="95">
        <v>8</v>
      </c>
      <c r="AH89" s="95">
        <v>2</v>
      </c>
      <c r="AI89" s="457" t="s">
        <v>2334</v>
      </c>
      <c r="AJ89" s="95" t="s">
        <v>780</v>
      </c>
      <c r="AK89" s="95" t="s">
        <v>185</v>
      </c>
      <c r="AL89" s="95" t="s">
        <v>867</v>
      </c>
      <c r="AM89" s="95" t="s">
        <v>888</v>
      </c>
      <c r="AN89" s="97" t="s">
        <v>1616</v>
      </c>
    </row>
    <row r="90" spans="1:40" ht="12.75">
      <c r="A90" s="166">
        <f t="shared" si="7"/>
        <v>88</v>
      </c>
      <c r="B90" s="94" t="s">
        <v>487</v>
      </c>
      <c r="C90" s="95">
        <v>7</v>
      </c>
      <c r="D90" s="95">
        <v>3</v>
      </c>
      <c r="E90" s="456" t="s">
        <v>426</v>
      </c>
      <c r="F90" s="95" t="s">
        <v>780</v>
      </c>
      <c r="G90" s="96" t="s">
        <v>488</v>
      </c>
      <c r="H90" s="96" t="s">
        <v>864</v>
      </c>
      <c r="I90" s="96" t="s">
        <v>1128</v>
      </c>
      <c r="J90" s="97" t="s">
        <v>1545</v>
      </c>
      <c r="K90" s="166">
        <f t="shared" si="4"/>
        <v>88</v>
      </c>
      <c r="L90" s="94" t="s">
        <v>475</v>
      </c>
      <c r="M90" s="95">
        <v>7</v>
      </c>
      <c r="N90" s="95">
        <v>3</v>
      </c>
      <c r="O90" s="456" t="s">
        <v>420</v>
      </c>
      <c r="P90" s="95" t="s">
        <v>780</v>
      </c>
      <c r="Q90" s="95" t="s">
        <v>442</v>
      </c>
      <c r="R90" s="96" t="s">
        <v>879</v>
      </c>
      <c r="S90" s="96" t="s">
        <v>892</v>
      </c>
      <c r="T90" s="97" t="s">
        <v>1572</v>
      </c>
      <c r="U90" s="166">
        <f t="shared" si="5"/>
        <v>88</v>
      </c>
      <c r="V90" s="500" t="s">
        <v>2254</v>
      </c>
      <c r="W90" s="503">
        <v>7</v>
      </c>
      <c r="X90" s="95">
        <v>1</v>
      </c>
      <c r="Y90" s="457" t="s">
        <v>2130</v>
      </c>
      <c r="Z90" s="95" t="s">
        <v>780</v>
      </c>
      <c r="AA90" s="95" t="s">
        <v>185</v>
      </c>
      <c r="AB90" s="95" t="s">
        <v>868</v>
      </c>
      <c r="AC90" s="95" t="s">
        <v>888</v>
      </c>
      <c r="AD90" s="543" t="s">
        <v>1593</v>
      </c>
      <c r="AE90" s="95">
        <f t="shared" si="6"/>
        <v>88</v>
      </c>
      <c r="AF90" s="94" t="s">
        <v>538</v>
      </c>
      <c r="AG90" s="95">
        <v>8</v>
      </c>
      <c r="AH90" s="95">
        <v>3</v>
      </c>
      <c r="AI90" s="456" t="s">
        <v>539</v>
      </c>
      <c r="AJ90" s="95" t="s">
        <v>780</v>
      </c>
      <c r="AK90" s="95" t="s">
        <v>174</v>
      </c>
      <c r="AL90" s="95" t="s">
        <v>867</v>
      </c>
      <c r="AM90" s="96" t="s">
        <v>894</v>
      </c>
      <c r="AN90" s="97" t="s">
        <v>1615</v>
      </c>
    </row>
    <row r="91" spans="1:40" ht="12.75">
      <c r="A91" s="166">
        <f t="shared" si="7"/>
        <v>89</v>
      </c>
      <c r="B91" s="94" t="s">
        <v>495</v>
      </c>
      <c r="C91" s="95">
        <v>7</v>
      </c>
      <c r="D91" s="95">
        <v>1</v>
      </c>
      <c r="E91" s="456" t="s">
        <v>496</v>
      </c>
      <c r="F91" s="95" t="s">
        <v>780</v>
      </c>
      <c r="G91" s="95" t="s">
        <v>442</v>
      </c>
      <c r="H91" s="95" t="s">
        <v>874</v>
      </c>
      <c r="I91" s="96" t="s">
        <v>1135</v>
      </c>
      <c r="J91" s="97" t="s">
        <v>1545</v>
      </c>
      <c r="K91" s="166">
        <f t="shared" si="4"/>
        <v>89</v>
      </c>
      <c r="L91" s="94" t="s">
        <v>481</v>
      </c>
      <c r="M91" s="95">
        <v>7</v>
      </c>
      <c r="N91" s="95">
        <v>1</v>
      </c>
      <c r="O91" s="456" t="s">
        <v>395</v>
      </c>
      <c r="P91" s="95" t="s">
        <v>780</v>
      </c>
      <c r="Q91" s="95" t="s">
        <v>174</v>
      </c>
      <c r="R91" s="95" t="s">
        <v>482</v>
      </c>
      <c r="S91" s="96" t="s">
        <v>1139</v>
      </c>
      <c r="T91" s="97" t="s">
        <v>1572</v>
      </c>
      <c r="U91" s="166">
        <f t="shared" si="5"/>
        <v>89</v>
      </c>
      <c r="V91" s="500" t="s">
        <v>505</v>
      </c>
      <c r="W91" s="95">
        <v>7</v>
      </c>
      <c r="X91" s="95">
        <v>4</v>
      </c>
      <c r="Y91" s="456" t="s">
        <v>506</v>
      </c>
      <c r="Z91" s="95" t="s">
        <v>780</v>
      </c>
      <c r="AA91" s="95" t="s">
        <v>174</v>
      </c>
      <c r="AB91" s="96" t="s">
        <v>867</v>
      </c>
      <c r="AC91" s="95" t="s">
        <v>1745</v>
      </c>
      <c r="AD91" s="543" t="s">
        <v>1594</v>
      </c>
      <c r="AE91" s="95">
        <f t="shared" si="6"/>
        <v>89</v>
      </c>
      <c r="AF91" s="94" t="s">
        <v>543</v>
      </c>
      <c r="AG91" s="95">
        <v>9</v>
      </c>
      <c r="AH91" s="95">
        <v>3</v>
      </c>
      <c r="AI91" s="456" t="s">
        <v>531</v>
      </c>
      <c r="AJ91" s="95" t="s">
        <v>780</v>
      </c>
      <c r="AK91" s="95" t="s">
        <v>185</v>
      </c>
      <c r="AL91" s="96" t="s">
        <v>862</v>
      </c>
      <c r="AM91" s="96" t="s">
        <v>1135</v>
      </c>
      <c r="AN91" s="97" t="s">
        <v>1618</v>
      </c>
    </row>
    <row r="92" spans="1:40" ht="12.75">
      <c r="A92" s="166">
        <f t="shared" si="7"/>
        <v>90</v>
      </c>
      <c r="B92" s="94" t="s">
        <v>2120</v>
      </c>
      <c r="C92" s="95">
        <v>7</v>
      </c>
      <c r="D92" s="95">
        <v>4</v>
      </c>
      <c r="E92" s="457" t="s">
        <v>463</v>
      </c>
      <c r="F92" s="95" t="s">
        <v>780</v>
      </c>
      <c r="G92" s="95" t="s">
        <v>220</v>
      </c>
      <c r="H92" s="95" t="s">
        <v>1859</v>
      </c>
      <c r="I92" s="95" t="s">
        <v>887</v>
      </c>
      <c r="J92" s="97" t="s">
        <v>1546</v>
      </c>
      <c r="K92" s="166">
        <f t="shared" si="4"/>
        <v>90</v>
      </c>
      <c r="L92" s="94" t="s">
        <v>489</v>
      </c>
      <c r="M92" s="95">
        <v>8</v>
      </c>
      <c r="N92" s="95">
        <v>4</v>
      </c>
      <c r="O92" s="456" t="s">
        <v>490</v>
      </c>
      <c r="P92" s="95" t="s">
        <v>780</v>
      </c>
      <c r="Q92" s="96" t="s">
        <v>182</v>
      </c>
      <c r="R92" s="96" t="s">
        <v>867</v>
      </c>
      <c r="S92" s="96" t="s">
        <v>891</v>
      </c>
      <c r="T92" s="97" t="s">
        <v>1572</v>
      </c>
      <c r="U92" s="166">
        <f t="shared" si="5"/>
        <v>90</v>
      </c>
      <c r="V92" s="500" t="s">
        <v>2255</v>
      </c>
      <c r="W92" s="95">
        <v>7</v>
      </c>
      <c r="X92" s="95">
        <v>3</v>
      </c>
      <c r="Y92" s="457" t="s">
        <v>2130</v>
      </c>
      <c r="Z92" s="95" t="s">
        <v>1859</v>
      </c>
      <c r="AA92" s="95" t="s">
        <v>174</v>
      </c>
      <c r="AB92" s="95" t="s">
        <v>860</v>
      </c>
      <c r="AC92" s="95" t="s">
        <v>889</v>
      </c>
      <c r="AD92" s="543" t="s">
        <v>1595</v>
      </c>
      <c r="AE92" s="95">
        <f t="shared" si="6"/>
        <v>90</v>
      </c>
      <c r="AF92" s="94" t="s">
        <v>2335</v>
      </c>
      <c r="AG92" s="95">
        <v>9</v>
      </c>
      <c r="AH92" s="95">
        <v>2</v>
      </c>
      <c r="AI92" s="457" t="s">
        <v>2336</v>
      </c>
      <c r="AJ92" s="95" t="s">
        <v>780</v>
      </c>
      <c r="AK92" s="95" t="s">
        <v>182</v>
      </c>
      <c r="AL92" s="95" t="s">
        <v>2337</v>
      </c>
      <c r="AM92" s="95" t="s">
        <v>2338</v>
      </c>
      <c r="AN92" s="97" t="s">
        <v>1619</v>
      </c>
    </row>
    <row r="93" spans="1:40" ht="12.75">
      <c r="A93" s="166">
        <f t="shared" si="7"/>
        <v>91</v>
      </c>
      <c r="B93" s="94" t="s">
        <v>2121</v>
      </c>
      <c r="C93" s="95">
        <v>7</v>
      </c>
      <c r="D93" s="95">
        <v>4</v>
      </c>
      <c r="E93" s="457" t="s">
        <v>2122</v>
      </c>
      <c r="F93" s="95">
        <v>6</v>
      </c>
      <c r="G93" s="95" t="s">
        <v>1862</v>
      </c>
      <c r="H93" s="95" t="s">
        <v>2123</v>
      </c>
      <c r="I93" s="95" t="s">
        <v>2124</v>
      </c>
      <c r="J93" s="97" t="s">
        <v>1546</v>
      </c>
      <c r="K93" s="166">
        <f t="shared" si="4"/>
        <v>91</v>
      </c>
      <c r="L93" s="94" t="s">
        <v>2176</v>
      </c>
      <c r="M93" s="95">
        <v>8</v>
      </c>
      <c r="N93" s="95">
        <v>3</v>
      </c>
      <c r="O93" s="457" t="s">
        <v>2177</v>
      </c>
      <c r="P93" s="95" t="s">
        <v>780</v>
      </c>
      <c r="Q93" s="95" t="s">
        <v>515</v>
      </c>
      <c r="R93" s="95" t="s">
        <v>858</v>
      </c>
      <c r="S93" s="95" t="s">
        <v>889</v>
      </c>
      <c r="T93" s="97" t="s">
        <v>1573</v>
      </c>
      <c r="U93" s="166">
        <f t="shared" si="5"/>
        <v>91</v>
      </c>
      <c r="V93" s="500" t="s">
        <v>2256</v>
      </c>
      <c r="W93" s="95">
        <v>7</v>
      </c>
      <c r="X93" s="95">
        <v>3</v>
      </c>
      <c r="Y93" s="457" t="s">
        <v>2257</v>
      </c>
      <c r="Z93" s="95" t="s">
        <v>780</v>
      </c>
      <c r="AA93" s="95" t="s">
        <v>220</v>
      </c>
      <c r="AB93" s="95" t="s">
        <v>2258</v>
      </c>
      <c r="AC93" s="95" t="s">
        <v>896</v>
      </c>
      <c r="AD93" s="543" t="s">
        <v>1595</v>
      </c>
      <c r="AE93" s="95">
        <f t="shared" si="6"/>
        <v>91</v>
      </c>
      <c r="AF93" s="94" t="s">
        <v>551</v>
      </c>
      <c r="AG93" s="95">
        <v>9</v>
      </c>
      <c r="AH93" s="95">
        <v>4</v>
      </c>
      <c r="AI93" s="456" t="s">
        <v>552</v>
      </c>
      <c r="AJ93" s="95" t="s">
        <v>780</v>
      </c>
      <c r="AK93" s="95" t="s">
        <v>185</v>
      </c>
      <c r="AL93" s="96" t="s">
        <v>867</v>
      </c>
      <c r="AM93" s="96" t="s">
        <v>895</v>
      </c>
      <c r="AN93" s="97" t="s">
        <v>1618</v>
      </c>
    </row>
    <row r="94" spans="1:40" ht="12.75">
      <c r="A94" s="166">
        <f t="shared" si="7"/>
        <v>92</v>
      </c>
      <c r="B94" s="94" t="s">
        <v>2125</v>
      </c>
      <c r="C94" s="95">
        <v>7</v>
      </c>
      <c r="D94" s="95">
        <v>2</v>
      </c>
      <c r="E94" s="457" t="s">
        <v>486</v>
      </c>
      <c r="F94" s="95" t="s">
        <v>780</v>
      </c>
      <c r="G94" s="95" t="s">
        <v>205</v>
      </c>
      <c r="H94" s="95" t="s">
        <v>2394</v>
      </c>
      <c r="I94" s="95" t="s">
        <v>1132</v>
      </c>
      <c r="J94" s="97" t="s">
        <v>1546</v>
      </c>
      <c r="K94" s="166">
        <f t="shared" si="4"/>
        <v>92</v>
      </c>
      <c r="L94" s="94" t="s">
        <v>497</v>
      </c>
      <c r="M94" s="95">
        <v>8</v>
      </c>
      <c r="N94" s="95">
        <v>4</v>
      </c>
      <c r="O94" s="456" t="s">
        <v>498</v>
      </c>
      <c r="P94" s="95" t="s">
        <v>780</v>
      </c>
      <c r="Q94" s="95" t="s">
        <v>182</v>
      </c>
      <c r="R94" s="95" t="s">
        <v>867</v>
      </c>
      <c r="S94" s="96" t="s">
        <v>1129</v>
      </c>
      <c r="T94" s="97" t="s">
        <v>1572</v>
      </c>
      <c r="U94" s="166">
        <f t="shared" si="5"/>
        <v>92</v>
      </c>
      <c r="V94" s="500" t="s">
        <v>1596</v>
      </c>
      <c r="W94" s="95">
        <v>7</v>
      </c>
      <c r="X94" s="95">
        <v>2</v>
      </c>
      <c r="Y94" s="456" t="s">
        <v>371</v>
      </c>
      <c r="Z94" s="95" t="s">
        <v>780</v>
      </c>
      <c r="AA94" s="95" t="s">
        <v>174</v>
      </c>
      <c r="AB94" s="95" t="s">
        <v>859</v>
      </c>
      <c r="AC94" s="96" t="s">
        <v>887</v>
      </c>
      <c r="AD94" s="543" t="s">
        <v>1594</v>
      </c>
      <c r="AE94" s="95">
        <f t="shared" si="6"/>
        <v>92</v>
      </c>
      <c r="AF94" s="94" t="s">
        <v>2339</v>
      </c>
      <c r="AG94" s="95">
        <v>9</v>
      </c>
      <c r="AH94" s="95">
        <v>4</v>
      </c>
      <c r="AI94" s="457" t="s">
        <v>2114</v>
      </c>
      <c r="AJ94" s="95">
        <v>8</v>
      </c>
      <c r="AK94" s="95" t="s">
        <v>205</v>
      </c>
      <c r="AL94" s="95" t="s">
        <v>2340</v>
      </c>
      <c r="AM94" s="95" t="s">
        <v>896</v>
      </c>
      <c r="AN94" s="97" t="s">
        <v>1619</v>
      </c>
    </row>
    <row r="95" spans="1:40" ht="12.75">
      <c r="A95" s="166">
        <f t="shared" si="7"/>
        <v>93</v>
      </c>
      <c r="B95" s="94" t="s">
        <v>2128</v>
      </c>
      <c r="C95" s="95">
        <v>7</v>
      </c>
      <c r="D95" s="95" t="s">
        <v>2126</v>
      </c>
      <c r="E95" s="457" t="s">
        <v>486</v>
      </c>
      <c r="F95" s="95">
        <v>7</v>
      </c>
      <c r="G95" s="95" t="s">
        <v>205</v>
      </c>
      <c r="H95" s="95" t="s">
        <v>2127</v>
      </c>
      <c r="I95" s="95" t="s">
        <v>889</v>
      </c>
      <c r="J95" s="97" t="s">
        <v>1547</v>
      </c>
      <c r="K95" s="166">
        <f t="shared" si="4"/>
        <v>93</v>
      </c>
      <c r="L95" s="94" t="s">
        <v>2178</v>
      </c>
      <c r="M95" s="95">
        <v>8</v>
      </c>
      <c r="N95" s="95" t="s">
        <v>2126</v>
      </c>
      <c r="O95" s="457" t="s">
        <v>2179</v>
      </c>
      <c r="P95" s="95" t="s">
        <v>780</v>
      </c>
      <c r="Q95" s="95" t="s">
        <v>194</v>
      </c>
      <c r="R95" s="95" t="s">
        <v>868</v>
      </c>
      <c r="S95" s="95" t="s">
        <v>888</v>
      </c>
      <c r="T95" s="97" t="s">
        <v>1573</v>
      </c>
      <c r="U95" s="166">
        <f t="shared" si="5"/>
        <v>93</v>
      </c>
      <c r="V95" s="500" t="s">
        <v>517</v>
      </c>
      <c r="W95" s="95">
        <v>8</v>
      </c>
      <c r="X95" s="95">
        <v>3</v>
      </c>
      <c r="Y95" s="456" t="s">
        <v>492</v>
      </c>
      <c r="Z95" s="95" t="s">
        <v>780</v>
      </c>
      <c r="AA95" s="95" t="s">
        <v>364</v>
      </c>
      <c r="AB95" s="96" t="s">
        <v>858</v>
      </c>
      <c r="AC95" s="95" t="s">
        <v>887</v>
      </c>
      <c r="AD95" s="543" t="s">
        <v>1594</v>
      </c>
      <c r="AE95" s="95">
        <f t="shared" si="6"/>
        <v>93</v>
      </c>
      <c r="AF95" s="94" t="s">
        <v>558</v>
      </c>
      <c r="AG95" s="95">
        <v>9</v>
      </c>
      <c r="AH95" s="95">
        <v>5</v>
      </c>
      <c r="AI95" s="456" t="s">
        <v>552</v>
      </c>
      <c r="AJ95" s="95" t="s">
        <v>780</v>
      </c>
      <c r="AK95" s="95" t="s">
        <v>226</v>
      </c>
      <c r="AL95" s="96" t="s">
        <v>863</v>
      </c>
      <c r="AM95" s="95" t="s">
        <v>1747</v>
      </c>
      <c r="AN95" s="97" t="s">
        <v>1618</v>
      </c>
    </row>
    <row r="96" spans="1:40" ht="12.75">
      <c r="A96" s="166">
        <f t="shared" si="7"/>
        <v>94</v>
      </c>
      <c r="B96" s="94" t="s">
        <v>2129</v>
      </c>
      <c r="C96" s="95">
        <v>7</v>
      </c>
      <c r="D96" s="95">
        <v>2</v>
      </c>
      <c r="E96" s="457" t="s">
        <v>2130</v>
      </c>
      <c r="F96" s="95" t="s">
        <v>780</v>
      </c>
      <c r="G96" s="95" t="s">
        <v>238</v>
      </c>
      <c r="H96" s="95" t="s">
        <v>864</v>
      </c>
      <c r="I96" s="95" t="s">
        <v>888</v>
      </c>
      <c r="J96" s="97" t="s">
        <v>1547</v>
      </c>
      <c r="K96" s="166">
        <f t="shared" si="4"/>
        <v>94</v>
      </c>
      <c r="L96" s="94" t="s">
        <v>502</v>
      </c>
      <c r="M96" s="95">
        <v>8</v>
      </c>
      <c r="N96" s="95">
        <v>3</v>
      </c>
      <c r="O96" s="456" t="s">
        <v>504</v>
      </c>
      <c r="P96" s="95" t="s">
        <v>780</v>
      </c>
      <c r="Q96" s="95" t="s">
        <v>503</v>
      </c>
      <c r="R96" s="96" t="s">
        <v>864</v>
      </c>
      <c r="S96" s="95" t="s">
        <v>895</v>
      </c>
      <c r="T96" s="97" t="s">
        <v>1572</v>
      </c>
      <c r="U96" s="166">
        <f t="shared" si="5"/>
        <v>94</v>
      </c>
      <c r="V96" s="500" t="s">
        <v>2259</v>
      </c>
      <c r="W96" s="95">
        <v>8</v>
      </c>
      <c r="X96" s="95">
        <v>3</v>
      </c>
      <c r="Y96" s="457" t="s">
        <v>492</v>
      </c>
      <c r="Z96" s="95">
        <v>6</v>
      </c>
      <c r="AA96" s="95" t="s">
        <v>238</v>
      </c>
      <c r="AB96" s="95" t="s">
        <v>862</v>
      </c>
      <c r="AC96" s="95" t="s">
        <v>2260</v>
      </c>
      <c r="AD96" s="543" t="s">
        <v>1595</v>
      </c>
      <c r="AE96" s="95">
        <f t="shared" si="6"/>
        <v>94</v>
      </c>
      <c r="AF96" s="94" t="s">
        <v>564</v>
      </c>
      <c r="AG96" s="95">
        <v>9</v>
      </c>
      <c r="AH96" s="95">
        <v>6</v>
      </c>
      <c r="AI96" s="456" t="s">
        <v>571</v>
      </c>
      <c r="AJ96" s="95" t="s">
        <v>780</v>
      </c>
      <c r="AK96" s="96" t="s">
        <v>174</v>
      </c>
      <c r="AL96" s="96" t="s">
        <v>2394</v>
      </c>
      <c r="AM96" s="96" t="s">
        <v>888</v>
      </c>
      <c r="AN96" s="97" t="s">
        <v>1620</v>
      </c>
    </row>
    <row r="97" spans="1:40" ht="12.75">
      <c r="A97" s="166">
        <f t="shared" si="7"/>
        <v>95</v>
      </c>
      <c r="B97" s="94" t="s">
        <v>2131</v>
      </c>
      <c r="C97" s="95">
        <v>7</v>
      </c>
      <c r="D97" s="95">
        <v>3</v>
      </c>
      <c r="E97" s="457" t="s">
        <v>486</v>
      </c>
      <c r="F97" s="95" t="s">
        <v>780</v>
      </c>
      <c r="G97" s="95" t="s">
        <v>185</v>
      </c>
      <c r="H97" s="95" t="s">
        <v>858</v>
      </c>
      <c r="I97" s="95" t="s">
        <v>896</v>
      </c>
      <c r="J97" s="97" t="s">
        <v>1547</v>
      </c>
      <c r="K97" s="166">
        <f t="shared" si="4"/>
        <v>95</v>
      </c>
      <c r="L97" s="94" t="s">
        <v>509</v>
      </c>
      <c r="M97" s="95">
        <v>8</v>
      </c>
      <c r="N97" s="95">
        <v>4</v>
      </c>
      <c r="O97" s="456" t="s">
        <v>490</v>
      </c>
      <c r="P97" s="95" t="s">
        <v>780</v>
      </c>
      <c r="Q97" s="95" t="s">
        <v>510</v>
      </c>
      <c r="R97" s="95" t="s">
        <v>868</v>
      </c>
      <c r="S97" s="96" t="s">
        <v>896</v>
      </c>
      <c r="T97" s="97" t="s">
        <v>1572</v>
      </c>
      <c r="U97" s="166">
        <f t="shared" si="5"/>
        <v>95</v>
      </c>
      <c r="V97" s="500" t="s">
        <v>522</v>
      </c>
      <c r="W97" s="95">
        <v>8</v>
      </c>
      <c r="X97" s="95">
        <v>6</v>
      </c>
      <c r="Y97" s="456" t="s">
        <v>523</v>
      </c>
      <c r="Z97" s="95" t="s">
        <v>780</v>
      </c>
      <c r="AA97" s="95" t="s">
        <v>205</v>
      </c>
      <c r="AB97" s="96" t="s">
        <v>869</v>
      </c>
      <c r="AC97" s="96" t="s">
        <v>1142</v>
      </c>
      <c r="AD97" s="543" t="s">
        <v>1594</v>
      </c>
      <c r="AE97" s="95">
        <f t="shared" si="6"/>
        <v>95</v>
      </c>
      <c r="AF97" s="94" t="s">
        <v>578</v>
      </c>
      <c r="AG97" s="95">
        <v>9</v>
      </c>
      <c r="AH97" s="95">
        <v>3</v>
      </c>
      <c r="AI97" s="456" t="s">
        <v>447</v>
      </c>
      <c r="AJ97" s="95" t="s">
        <v>780</v>
      </c>
      <c r="AK97" s="95" t="s">
        <v>174</v>
      </c>
      <c r="AL97" s="96" t="s">
        <v>579</v>
      </c>
      <c r="AM97" s="95" t="s">
        <v>1154</v>
      </c>
      <c r="AN97" s="97" t="s">
        <v>1620</v>
      </c>
    </row>
    <row r="98" spans="1:40" ht="12.75">
      <c r="A98" s="166">
        <f t="shared" si="7"/>
        <v>96</v>
      </c>
      <c r="B98" s="94" t="s">
        <v>565</v>
      </c>
      <c r="C98" s="95">
        <v>7</v>
      </c>
      <c r="D98" s="95">
        <v>2</v>
      </c>
      <c r="E98" s="456" t="s">
        <v>494</v>
      </c>
      <c r="F98" s="95" t="s">
        <v>780</v>
      </c>
      <c r="G98" s="95" t="s">
        <v>185</v>
      </c>
      <c r="H98" s="96" t="s">
        <v>859</v>
      </c>
      <c r="I98" s="95" t="s">
        <v>1135</v>
      </c>
      <c r="J98" s="97" t="s">
        <v>1548</v>
      </c>
      <c r="K98" s="166">
        <f t="shared" si="4"/>
        <v>96</v>
      </c>
      <c r="L98" s="94" t="s">
        <v>514</v>
      </c>
      <c r="M98" s="95">
        <v>8</v>
      </c>
      <c r="N98" s="95">
        <v>3</v>
      </c>
      <c r="O98" s="456" t="s">
        <v>504</v>
      </c>
      <c r="P98" s="95" t="s">
        <v>780</v>
      </c>
      <c r="Q98" s="95" t="s">
        <v>515</v>
      </c>
      <c r="R98" s="96" t="s">
        <v>516</v>
      </c>
      <c r="S98" s="95" t="s">
        <v>1127</v>
      </c>
      <c r="T98" s="97" t="s">
        <v>1572</v>
      </c>
      <c r="U98" s="166">
        <f t="shared" si="5"/>
        <v>96</v>
      </c>
      <c r="V98" s="500" t="s">
        <v>2262</v>
      </c>
      <c r="W98" s="95">
        <v>8</v>
      </c>
      <c r="X98" s="95">
        <v>2</v>
      </c>
      <c r="Y98" s="457" t="s">
        <v>2261</v>
      </c>
      <c r="Z98" s="95" t="s">
        <v>780</v>
      </c>
      <c r="AA98" s="95" t="s">
        <v>174</v>
      </c>
      <c r="AB98" s="95" t="s">
        <v>862</v>
      </c>
      <c r="AC98" s="95" t="s">
        <v>1139</v>
      </c>
      <c r="AD98" s="543" t="s">
        <v>1595</v>
      </c>
      <c r="AE98" s="95">
        <f t="shared" si="6"/>
        <v>96</v>
      </c>
      <c r="AF98" s="94" t="s">
        <v>2341</v>
      </c>
      <c r="AG98" s="95">
        <v>9</v>
      </c>
      <c r="AH98" s="95" t="s">
        <v>359</v>
      </c>
      <c r="AI98" s="457" t="s">
        <v>2114</v>
      </c>
      <c r="AJ98" s="95" t="s">
        <v>780</v>
      </c>
      <c r="AK98" s="95" t="s">
        <v>185</v>
      </c>
      <c r="AL98" s="95" t="s">
        <v>868</v>
      </c>
      <c r="AM98" s="95" t="s">
        <v>888</v>
      </c>
      <c r="AN98" s="97" t="s">
        <v>1619</v>
      </c>
    </row>
    <row r="99" spans="1:40" ht="12.75">
      <c r="A99" s="166">
        <f t="shared" si="7"/>
        <v>97</v>
      </c>
      <c r="B99" s="94" t="s">
        <v>2132</v>
      </c>
      <c r="C99" s="95">
        <v>7</v>
      </c>
      <c r="D99" s="95">
        <v>3</v>
      </c>
      <c r="E99" s="457" t="s">
        <v>395</v>
      </c>
      <c r="F99" s="95" t="s">
        <v>780</v>
      </c>
      <c r="G99" s="95" t="s">
        <v>185</v>
      </c>
      <c r="H99" s="96" t="s">
        <v>2133</v>
      </c>
      <c r="I99" s="95" t="s">
        <v>888</v>
      </c>
      <c r="J99" s="97" t="s">
        <v>1547</v>
      </c>
      <c r="K99" s="166">
        <f t="shared" si="4"/>
        <v>97</v>
      </c>
      <c r="L99" s="94" t="s">
        <v>2180</v>
      </c>
      <c r="M99" s="95">
        <v>8</v>
      </c>
      <c r="N99" s="95">
        <v>2</v>
      </c>
      <c r="O99" s="457" t="s">
        <v>529</v>
      </c>
      <c r="P99" s="95" t="s">
        <v>780</v>
      </c>
      <c r="Q99" s="95" t="s">
        <v>185</v>
      </c>
      <c r="R99" s="95" t="s">
        <v>868</v>
      </c>
      <c r="S99" s="95" t="s">
        <v>1151</v>
      </c>
      <c r="T99" s="97" t="s">
        <v>1573</v>
      </c>
      <c r="U99" s="166">
        <f t="shared" si="5"/>
        <v>97</v>
      </c>
      <c r="V99" s="500" t="s">
        <v>530</v>
      </c>
      <c r="W99" s="95">
        <v>8</v>
      </c>
      <c r="X99" s="95">
        <v>1</v>
      </c>
      <c r="Y99" s="456" t="s">
        <v>531</v>
      </c>
      <c r="Z99" s="95" t="s">
        <v>780</v>
      </c>
      <c r="AA99" s="95" t="s">
        <v>182</v>
      </c>
      <c r="AB99" s="96" t="s">
        <v>869</v>
      </c>
      <c r="AC99" s="95" t="s">
        <v>1132</v>
      </c>
      <c r="AD99" s="543" t="s">
        <v>1594</v>
      </c>
      <c r="AE99" s="95">
        <f t="shared" si="6"/>
        <v>97</v>
      </c>
      <c r="AF99" s="94" t="s">
        <v>584</v>
      </c>
      <c r="AG99" s="95">
        <v>10</v>
      </c>
      <c r="AH99" s="95">
        <v>3</v>
      </c>
      <c r="AI99" s="456" t="s">
        <v>523</v>
      </c>
      <c r="AJ99" s="95" t="s">
        <v>780</v>
      </c>
      <c r="AK99" s="95" t="s">
        <v>174</v>
      </c>
      <c r="AL99" s="95" t="s">
        <v>867</v>
      </c>
      <c r="AM99" s="95" t="s">
        <v>1155</v>
      </c>
      <c r="AN99" s="97" t="s">
        <v>1620</v>
      </c>
    </row>
    <row r="100" spans="1:40" ht="12.75">
      <c r="A100" s="166">
        <f t="shared" si="7"/>
        <v>98</v>
      </c>
      <c r="B100" s="94" t="s">
        <v>98</v>
      </c>
      <c r="C100" s="95">
        <v>7</v>
      </c>
      <c r="D100" s="95">
        <v>2</v>
      </c>
      <c r="E100" s="456" t="s">
        <v>494</v>
      </c>
      <c r="F100" s="95" t="s">
        <v>780</v>
      </c>
      <c r="G100" s="95" t="s">
        <v>185</v>
      </c>
      <c r="H100" s="95" t="s">
        <v>866</v>
      </c>
      <c r="I100" s="96" t="s">
        <v>1139</v>
      </c>
      <c r="J100" s="97" t="s">
        <v>1548</v>
      </c>
      <c r="K100" s="166">
        <f t="shared" si="4"/>
        <v>98</v>
      </c>
      <c r="L100" s="94" t="s">
        <v>2181</v>
      </c>
      <c r="M100" s="95">
        <v>9</v>
      </c>
      <c r="N100" s="95">
        <v>3</v>
      </c>
      <c r="O100" s="457" t="s">
        <v>492</v>
      </c>
      <c r="P100" s="95" t="s">
        <v>1859</v>
      </c>
      <c r="Q100" s="95" t="s">
        <v>216</v>
      </c>
      <c r="R100" s="95" t="s">
        <v>1859</v>
      </c>
      <c r="S100" s="95" t="s">
        <v>1132</v>
      </c>
      <c r="T100" s="97" t="s">
        <v>1573</v>
      </c>
      <c r="U100" s="166">
        <f t="shared" si="5"/>
        <v>98</v>
      </c>
      <c r="V100" s="500" t="s">
        <v>536</v>
      </c>
      <c r="W100" s="95">
        <v>8</v>
      </c>
      <c r="X100" s="95">
        <v>2</v>
      </c>
      <c r="Y100" s="456" t="s">
        <v>537</v>
      </c>
      <c r="Z100" s="95" t="s">
        <v>780</v>
      </c>
      <c r="AA100" s="95" t="s">
        <v>286</v>
      </c>
      <c r="AB100" s="95" t="s">
        <v>864</v>
      </c>
      <c r="AC100" s="96" t="s">
        <v>887</v>
      </c>
      <c r="AD100" s="543" t="s">
        <v>1594</v>
      </c>
      <c r="AE100" s="95">
        <f t="shared" si="6"/>
        <v>98</v>
      </c>
      <c r="AF100" s="94" t="s">
        <v>2342</v>
      </c>
      <c r="AG100" s="95">
        <v>10</v>
      </c>
      <c r="AH100" s="95">
        <v>4</v>
      </c>
      <c r="AI100" s="457" t="s">
        <v>2343</v>
      </c>
      <c r="AJ100" s="95" t="s">
        <v>780</v>
      </c>
      <c r="AK100" s="95" t="s">
        <v>174</v>
      </c>
      <c r="AL100" s="95" t="s">
        <v>865</v>
      </c>
      <c r="AM100" s="95" t="s">
        <v>888</v>
      </c>
      <c r="AN100" s="97" t="s">
        <v>1619</v>
      </c>
    </row>
    <row r="101" spans="1:40" ht="12.75">
      <c r="A101" s="166">
        <f t="shared" si="7"/>
        <v>99</v>
      </c>
      <c r="B101" s="94" t="s">
        <v>513</v>
      </c>
      <c r="C101" s="95">
        <v>8</v>
      </c>
      <c r="D101" s="95">
        <v>2</v>
      </c>
      <c r="E101" s="456" t="s">
        <v>486</v>
      </c>
      <c r="F101" s="95" t="s">
        <v>780</v>
      </c>
      <c r="G101" s="95" t="s">
        <v>174</v>
      </c>
      <c r="H101" s="96" t="s">
        <v>867</v>
      </c>
      <c r="I101" s="95" t="s">
        <v>896</v>
      </c>
      <c r="J101" s="97" t="s">
        <v>1548</v>
      </c>
      <c r="K101" s="166">
        <f t="shared" si="4"/>
        <v>99</v>
      </c>
      <c r="L101" s="94" t="s">
        <v>521</v>
      </c>
      <c r="M101" s="95">
        <v>9</v>
      </c>
      <c r="N101" s="95">
        <v>5</v>
      </c>
      <c r="O101" s="456" t="s">
        <v>431</v>
      </c>
      <c r="P101" s="95" t="s">
        <v>780</v>
      </c>
      <c r="Q101" s="95" t="s">
        <v>174</v>
      </c>
      <c r="R101" s="96" t="s">
        <v>871</v>
      </c>
      <c r="S101" s="96" t="s">
        <v>1745</v>
      </c>
      <c r="T101" s="97" t="s">
        <v>1554</v>
      </c>
      <c r="U101" s="166">
        <f t="shared" si="5"/>
        <v>99</v>
      </c>
      <c r="V101" s="500" t="s">
        <v>542</v>
      </c>
      <c r="W101" s="95">
        <v>8</v>
      </c>
      <c r="X101" s="95">
        <v>4</v>
      </c>
      <c r="Y101" s="456" t="s">
        <v>352</v>
      </c>
      <c r="Z101" s="95" t="s">
        <v>780</v>
      </c>
      <c r="AA101" s="95" t="s">
        <v>205</v>
      </c>
      <c r="AB101" s="96" t="s">
        <v>859</v>
      </c>
      <c r="AC101" s="96" t="s">
        <v>1745</v>
      </c>
      <c r="AD101" s="543" t="s">
        <v>1594</v>
      </c>
      <c r="AE101" s="95">
        <f t="shared" si="6"/>
        <v>99</v>
      </c>
      <c r="AF101" s="94" t="s">
        <v>589</v>
      </c>
      <c r="AG101" s="95">
        <v>10</v>
      </c>
      <c r="AH101" s="96">
        <v>6</v>
      </c>
      <c r="AI101" s="456" t="s">
        <v>590</v>
      </c>
      <c r="AJ101" s="95" t="s">
        <v>780</v>
      </c>
      <c r="AK101" s="95" t="s">
        <v>174</v>
      </c>
      <c r="AL101" s="96" t="s">
        <v>862</v>
      </c>
      <c r="AM101" s="96" t="s">
        <v>1136</v>
      </c>
      <c r="AN101" s="97" t="s">
        <v>1620</v>
      </c>
    </row>
    <row r="102" spans="1:40" ht="12.75">
      <c r="A102" s="166">
        <f t="shared" si="7"/>
        <v>100</v>
      </c>
      <c r="B102" s="94" t="s">
        <v>2134</v>
      </c>
      <c r="C102" s="95">
        <v>8</v>
      </c>
      <c r="D102" s="95">
        <v>4</v>
      </c>
      <c r="E102" s="457" t="s">
        <v>529</v>
      </c>
      <c r="F102" s="95" t="s">
        <v>780</v>
      </c>
      <c r="G102" s="95" t="s">
        <v>185</v>
      </c>
      <c r="H102" s="95" t="s">
        <v>858</v>
      </c>
      <c r="I102" s="95" t="s">
        <v>896</v>
      </c>
      <c r="J102" s="97" t="s">
        <v>1549</v>
      </c>
      <c r="K102" s="166">
        <f t="shared" si="4"/>
        <v>100</v>
      </c>
      <c r="L102" s="94" t="s">
        <v>528</v>
      </c>
      <c r="M102" s="95">
        <v>9</v>
      </c>
      <c r="N102" s="95">
        <v>5</v>
      </c>
      <c r="O102" s="456" t="s">
        <v>529</v>
      </c>
      <c r="P102" s="95" t="s">
        <v>780</v>
      </c>
      <c r="Q102" s="95" t="s">
        <v>216</v>
      </c>
      <c r="R102" s="96" t="s">
        <v>867</v>
      </c>
      <c r="S102" s="95" t="s">
        <v>1128</v>
      </c>
      <c r="T102" s="97" t="s">
        <v>1574</v>
      </c>
      <c r="U102" s="166">
        <f t="shared" si="5"/>
        <v>100</v>
      </c>
      <c r="V102" s="500" t="s">
        <v>2263</v>
      </c>
      <c r="W102" s="95">
        <v>8</v>
      </c>
      <c r="X102" s="95">
        <v>4</v>
      </c>
      <c r="Y102" s="457" t="s">
        <v>2177</v>
      </c>
      <c r="Z102" s="95" t="s">
        <v>780</v>
      </c>
      <c r="AA102" s="95" t="s">
        <v>174</v>
      </c>
      <c r="AB102" s="95" t="s">
        <v>2170</v>
      </c>
      <c r="AC102" s="95" t="s">
        <v>1138</v>
      </c>
      <c r="AD102" s="543" t="s">
        <v>1595</v>
      </c>
      <c r="AE102" s="95">
        <f t="shared" si="6"/>
        <v>100</v>
      </c>
      <c r="AF102" s="94" t="s">
        <v>594</v>
      </c>
      <c r="AG102" s="95">
        <v>10</v>
      </c>
      <c r="AH102" s="95">
        <v>7</v>
      </c>
      <c r="AI102" s="456" t="s">
        <v>552</v>
      </c>
      <c r="AJ102" s="95" t="s">
        <v>780</v>
      </c>
      <c r="AK102" s="95" t="s">
        <v>174</v>
      </c>
      <c r="AL102" s="96" t="s">
        <v>865</v>
      </c>
      <c r="AM102" s="96" t="s">
        <v>1136</v>
      </c>
      <c r="AN102" s="97" t="s">
        <v>1621</v>
      </c>
    </row>
    <row r="103" spans="1:40" ht="12.75">
      <c r="A103" s="166">
        <f t="shared" si="7"/>
        <v>101</v>
      </c>
      <c r="B103" s="94" t="s">
        <v>520</v>
      </c>
      <c r="C103" s="95">
        <v>8</v>
      </c>
      <c r="D103" s="95">
        <v>3</v>
      </c>
      <c r="E103" s="456" t="s">
        <v>426</v>
      </c>
      <c r="F103" s="95" t="s">
        <v>780</v>
      </c>
      <c r="G103" s="95" t="s">
        <v>286</v>
      </c>
      <c r="H103" s="96" t="s">
        <v>868</v>
      </c>
      <c r="I103" s="96" t="s">
        <v>1128</v>
      </c>
      <c r="J103" s="97" t="s">
        <v>1548</v>
      </c>
      <c r="K103" s="166">
        <f t="shared" si="4"/>
        <v>101</v>
      </c>
      <c r="L103" s="94" t="s">
        <v>534</v>
      </c>
      <c r="M103" s="95">
        <v>9</v>
      </c>
      <c r="N103" s="95">
        <v>4</v>
      </c>
      <c r="O103" s="456" t="s">
        <v>535</v>
      </c>
      <c r="P103" s="95" t="s">
        <v>780</v>
      </c>
      <c r="Q103" s="95" t="s">
        <v>174</v>
      </c>
      <c r="R103" s="95" t="s">
        <v>871</v>
      </c>
      <c r="S103" s="96" t="s">
        <v>1125</v>
      </c>
      <c r="T103" s="97" t="s">
        <v>1574</v>
      </c>
      <c r="U103" s="166">
        <f t="shared" si="5"/>
        <v>101</v>
      </c>
      <c r="V103" s="500" t="s">
        <v>2264</v>
      </c>
      <c r="W103" s="95">
        <v>8</v>
      </c>
      <c r="X103" s="95">
        <v>4</v>
      </c>
      <c r="Y103" s="457" t="s">
        <v>529</v>
      </c>
      <c r="Z103" s="95">
        <v>7</v>
      </c>
      <c r="AA103" s="95" t="s">
        <v>224</v>
      </c>
      <c r="AB103" s="95" t="s">
        <v>2265</v>
      </c>
      <c r="AC103" s="95" t="s">
        <v>891</v>
      </c>
      <c r="AD103" s="543" t="s">
        <v>1597</v>
      </c>
      <c r="AE103" s="95">
        <f t="shared" si="6"/>
        <v>101</v>
      </c>
      <c r="AF103" s="94" t="s">
        <v>598</v>
      </c>
      <c r="AG103" s="95">
        <v>10</v>
      </c>
      <c r="AH103" s="95">
        <v>4</v>
      </c>
      <c r="AI103" s="456" t="s">
        <v>537</v>
      </c>
      <c r="AJ103" s="95" t="s">
        <v>780</v>
      </c>
      <c r="AK103" s="95" t="s">
        <v>323</v>
      </c>
      <c r="AL103" s="96" t="s">
        <v>858</v>
      </c>
      <c r="AM103" s="96" t="s">
        <v>1132</v>
      </c>
      <c r="AN103" s="97" t="s">
        <v>1621</v>
      </c>
    </row>
    <row r="104" spans="1:40" ht="12.75">
      <c r="A104" s="166">
        <f t="shared" si="7"/>
        <v>102</v>
      </c>
      <c r="B104" s="94" t="s">
        <v>525</v>
      </c>
      <c r="C104" s="95">
        <v>8</v>
      </c>
      <c r="D104" s="95">
        <v>3</v>
      </c>
      <c r="E104" s="456" t="s">
        <v>527</v>
      </c>
      <c r="F104" s="95" t="s">
        <v>780</v>
      </c>
      <c r="G104" s="95" t="s">
        <v>526</v>
      </c>
      <c r="H104" s="96" t="s">
        <v>868</v>
      </c>
      <c r="I104" s="95" t="s">
        <v>1126</v>
      </c>
      <c r="J104" s="97" t="s">
        <v>1548</v>
      </c>
      <c r="K104" s="166">
        <f t="shared" si="4"/>
        <v>102</v>
      </c>
      <c r="L104" s="94" t="s">
        <v>541</v>
      </c>
      <c r="M104" s="95">
        <v>9</v>
      </c>
      <c r="N104" s="95">
        <v>5</v>
      </c>
      <c r="O104" s="456" t="s">
        <v>535</v>
      </c>
      <c r="P104" s="95" t="s">
        <v>780</v>
      </c>
      <c r="Q104" s="95" t="s">
        <v>216</v>
      </c>
      <c r="R104" s="96" t="s">
        <v>866</v>
      </c>
      <c r="S104" s="96" t="s">
        <v>1127</v>
      </c>
      <c r="T104" s="97" t="s">
        <v>1574</v>
      </c>
      <c r="U104" s="166">
        <f t="shared" si="5"/>
        <v>102</v>
      </c>
      <c r="V104" s="500" t="s">
        <v>2266</v>
      </c>
      <c r="W104" s="95">
        <v>8</v>
      </c>
      <c r="X104" s="95">
        <v>5</v>
      </c>
      <c r="Y104" s="457" t="s">
        <v>498</v>
      </c>
      <c r="Z104" s="95" t="s">
        <v>780</v>
      </c>
      <c r="AA104" s="95" t="s">
        <v>174</v>
      </c>
      <c r="AB104" s="95" t="s">
        <v>2394</v>
      </c>
      <c r="AC104" s="95" t="s">
        <v>2249</v>
      </c>
      <c r="AD104" s="543" t="s">
        <v>1597</v>
      </c>
      <c r="AE104" s="95">
        <f t="shared" si="6"/>
        <v>102</v>
      </c>
      <c r="AF104" s="94" t="s">
        <v>2344</v>
      </c>
      <c r="AG104" s="95">
        <v>10</v>
      </c>
      <c r="AH104" s="95">
        <v>4</v>
      </c>
      <c r="AI104" s="457" t="s">
        <v>2343</v>
      </c>
      <c r="AJ104" s="95">
        <v>7</v>
      </c>
      <c r="AK104" s="95" t="s">
        <v>238</v>
      </c>
      <c r="AL104" s="95" t="s">
        <v>863</v>
      </c>
      <c r="AM104" s="95" t="s">
        <v>2338</v>
      </c>
      <c r="AN104" s="97" t="s">
        <v>1619</v>
      </c>
    </row>
    <row r="105" spans="1:40" ht="12.75">
      <c r="A105" s="166">
        <f t="shared" si="7"/>
        <v>103</v>
      </c>
      <c r="B105" s="94" t="s">
        <v>533</v>
      </c>
      <c r="C105" s="95">
        <v>8</v>
      </c>
      <c r="D105" s="95">
        <v>3</v>
      </c>
      <c r="E105" s="456" t="s">
        <v>486</v>
      </c>
      <c r="F105" s="95" t="s">
        <v>780</v>
      </c>
      <c r="G105" s="95" t="s">
        <v>174</v>
      </c>
      <c r="H105" s="95" t="s">
        <v>864</v>
      </c>
      <c r="I105" s="96" t="s">
        <v>1128</v>
      </c>
      <c r="J105" s="97" t="s">
        <v>1548</v>
      </c>
      <c r="K105" s="166">
        <f t="shared" si="4"/>
        <v>103</v>
      </c>
      <c r="L105" s="94" t="s">
        <v>546</v>
      </c>
      <c r="M105" s="95">
        <v>9</v>
      </c>
      <c r="N105" s="95">
        <v>3</v>
      </c>
      <c r="O105" s="456" t="s">
        <v>535</v>
      </c>
      <c r="P105" s="95" t="s">
        <v>780</v>
      </c>
      <c r="Q105" s="95" t="s">
        <v>547</v>
      </c>
      <c r="R105" s="96" t="s">
        <v>866</v>
      </c>
      <c r="S105" s="96" t="s">
        <v>892</v>
      </c>
      <c r="T105" s="97" t="s">
        <v>1574</v>
      </c>
      <c r="U105" s="166">
        <f t="shared" si="5"/>
        <v>103</v>
      </c>
      <c r="V105" s="500" t="s">
        <v>548</v>
      </c>
      <c r="W105" s="95">
        <v>9</v>
      </c>
      <c r="X105" s="95" t="s">
        <v>359</v>
      </c>
      <c r="Y105" s="456" t="s">
        <v>550</v>
      </c>
      <c r="Z105" s="95" t="s">
        <v>780</v>
      </c>
      <c r="AA105" s="95" t="s">
        <v>174</v>
      </c>
      <c r="AB105" s="96" t="s">
        <v>549</v>
      </c>
      <c r="AC105" s="96" t="s">
        <v>1159</v>
      </c>
      <c r="AD105" s="543" t="s">
        <v>1598</v>
      </c>
      <c r="AE105" s="95">
        <f t="shared" si="6"/>
        <v>103</v>
      </c>
      <c r="AF105" s="94" t="s">
        <v>603</v>
      </c>
      <c r="AG105" s="95">
        <v>10</v>
      </c>
      <c r="AH105" s="95">
        <v>3</v>
      </c>
      <c r="AI105" s="456" t="s">
        <v>586</v>
      </c>
      <c r="AJ105" s="95" t="s">
        <v>780</v>
      </c>
      <c r="AK105" s="95" t="s">
        <v>286</v>
      </c>
      <c r="AL105" s="96" t="s">
        <v>604</v>
      </c>
      <c r="AM105" s="96" t="s">
        <v>894</v>
      </c>
      <c r="AN105" s="97" t="s">
        <v>1621</v>
      </c>
    </row>
    <row r="106" spans="1:40" ht="12.75">
      <c r="A106" s="166">
        <f t="shared" si="7"/>
        <v>104</v>
      </c>
      <c r="B106" s="94" t="s">
        <v>540</v>
      </c>
      <c r="C106" s="95">
        <v>8</v>
      </c>
      <c r="D106" s="95">
        <v>3</v>
      </c>
      <c r="E106" s="456" t="s">
        <v>468</v>
      </c>
      <c r="F106" s="95" t="s">
        <v>780</v>
      </c>
      <c r="G106" s="95" t="s">
        <v>323</v>
      </c>
      <c r="H106" s="96" t="s">
        <v>863</v>
      </c>
      <c r="I106" s="96" t="s">
        <v>1128</v>
      </c>
      <c r="J106" s="97" t="s">
        <v>1548</v>
      </c>
      <c r="K106" s="166">
        <f t="shared" si="4"/>
        <v>104</v>
      </c>
      <c r="L106" s="94" t="s">
        <v>554</v>
      </c>
      <c r="M106" s="95">
        <v>10</v>
      </c>
      <c r="N106" s="95">
        <v>5</v>
      </c>
      <c r="O106" s="456" t="s">
        <v>555</v>
      </c>
      <c r="P106" s="95" t="s">
        <v>780</v>
      </c>
      <c r="Q106" s="95" t="s">
        <v>182</v>
      </c>
      <c r="R106" s="96" t="s">
        <v>872</v>
      </c>
      <c r="S106" s="95" t="s">
        <v>895</v>
      </c>
      <c r="T106" s="97" t="s">
        <v>1574</v>
      </c>
      <c r="U106" s="166">
        <f t="shared" si="5"/>
        <v>104</v>
      </c>
      <c r="V106" s="500" t="s">
        <v>556</v>
      </c>
      <c r="W106" s="95">
        <v>9</v>
      </c>
      <c r="X106" s="95">
        <v>6</v>
      </c>
      <c r="Y106" s="456" t="s">
        <v>557</v>
      </c>
      <c r="Z106" s="95" t="s">
        <v>780</v>
      </c>
      <c r="AA106" s="95" t="s">
        <v>174</v>
      </c>
      <c r="AB106" s="96" t="s">
        <v>862</v>
      </c>
      <c r="AC106" s="95" t="s">
        <v>1136</v>
      </c>
      <c r="AD106" s="543" t="s">
        <v>1598</v>
      </c>
      <c r="AE106" s="95">
        <f t="shared" si="6"/>
        <v>104</v>
      </c>
      <c r="AF106" s="94"/>
      <c r="AN106" s="97"/>
    </row>
    <row r="107" spans="1:40" ht="12.75">
      <c r="A107" s="166">
        <f t="shared" si="7"/>
        <v>105</v>
      </c>
      <c r="B107" s="94" t="s">
        <v>2135</v>
      </c>
      <c r="C107" s="95">
        <v>8</v>
      </c>
      <c r="D107" s="95">
        <v>2</v>
      </c>
      <c r="E107" s="457" t="s">
        <v>529</v>
      </c>
      <c r="F107" s="95" t="s">
        <v>780</v>
      </c>
      <c r="G107" s="95" t="s">
        <v>488</v>
      </c>
      <c r="H107" s="95" t="s">
        <v>865</v>
      </c>
      <c r="I107" s="95" t="s">
        <v>888</v>
      </c>
      <c r="J107" s="97" t="s">
        <v>1549</v>
      </c>
      <c r="K107" s="166">
        <f t="shared" si="4"/>
        <v>105</v>
      </c>
      <c r="L107" s="94" t="s">
        <v>560</v>
      </c>
      <c r="M107" s="95">
        <v>10</v>
      </c>
      <c r="N107" s="95">
        <v>4</v>
      </c>
      <c r="O107" s="456" t="s">
        <v>561</v>
      </c>
      <c r="P107" s="95" t="s">
        <v>780</v>
      </c>
      <c r="Q107" s="96" t="s">
        <v>182</v>
      </c>
      <c r="R107" s="96" t="s">
        <v>871</v>
      </c>
      <c r="S107" s="95" t="s">
        <v>2124</v>
      </c>
      <c r="T107" s="97" t="s">
        <v>1575</v>
      </c>
      <c r="U107" s="166">
        <f t="shared" si="5"/>
        <v>105</v>
      </c>
      <c r="V107" s="500" t="s">
        <v>2267</v>
      </c>
      <c r="W107" s="95">
        <v>9</v>
      </c>
      <c r="X107" s="95">
        <v>2</v>
      </c>
      <c r="Y107" s="457" t="s">
        <v>468</v>
      </c>
      <c r="Z107" s="95" t="s">
        <v>1859</v>
      </c>
      <c r="AA107" s="95" t="s">
        <v>185</v>
      </c>
      <c r="AB107" s="95" t="s">
        <v>2394</v>
      </c>
      <c r="AC107" s="95" t="s">
        <v>888</v>
      </c>
      <c r="AD107" s="543" t="s">
        <v>1597</v>
      </c>
      <c r="AE107" s="95">
        <f t="shared" si="6"/>
        <v>105</v>
      </c>
      <c r="AF107" s="94"/>
      <c r="AN107" s="97"/>
    </row>
    <row r="108" spans="1:40" ht="12.75">
      <c r="A108" s="166">
        <f t="shared" si="7"/>
        <v>106</v>
      </c>
      <c r="B108" s="94" t="s">
        <v>2136</v>
      </c>
      <c r="C108" s="95">
        <v>9</v>
      </c>
      <c r="D108" s="95">
        <v>5</v>
      </c>
      <c r="E108" s="457" t="s">
        <v>2137</v>
      </c>
      <c r="F108" s="95">
        <v>6</v>
      </c>
      <c r="G108" s="95" t="s">
        <v>224</v>
      </c>
      <c r="H108" s="95" t="s">
        <v>2138</v>
      </c>
      <c r="I108" s="95" t="s">
        <v>895</v>
      </c>
      <c r="J108" s="97" t="s">
        <v>1550</v>
      </c>
      <c r="K108" s="166">
        <f t="shared" si="4"/>
        <v>106</v>
      </c>
      <c r="L108" s="94" t="s">
        <v>574</v>
      </c>
      <c r="M108" s="95">
        <v>10</v>
      </c>
      <c r="N108" s="95">
        <v>6</v>
      </c>
      <c r="O108" s="456" t="s">
        <v>535</v>
      </c>
      <c r="P108" s="95" t="s">
        <v>780</v>
      </c>
      <c r="Q108" s="95" t="s">
        <v>575</v>
      </c>
      <c r="R108" s="96" t="s">
        <v>862</v>
      </c>
      <c r="S108" s="95" t="s">
        <v>1136</v>
      </c>
      <c r="T108" s="97" t="s">
        <v>1575</v>
      </c>
      <c r="U108" s="166">
        <f t="shared" si="5"/>
        <v>106</v>
      </c>
      <c r="V108" s="500" t="s">
        <v>2268</v>
      </c>
      <c r="W108" s="95">
        <v>9</v>
      </c>
      <c r="X108" s="95">
        <v>3</v>
      </c>
      <c r="Y108" s="457" t="s">
        <v>2269</v>
      </c>
      <c r="Z108" s="95" t="s">
        <v>780</v>
      </c>
      <c r="AA108" s="95" t="s">
        <v>174</v>
      </c>
      <c r="AB108" s="95" t="s">
        <v>867</v>
      </c>
      <c r="AC108" s="95" t="s">
        <v>1128</v>
      </c>
      <c r="AD108" s="543" t="s">
        <v>1597</v>
      </c>
      <c r="AE108" s="95">
        <f t="shared" si="6"/>
        <v>106</v>
      </c>
      <c r="AF108" s="94"/>
      <c r="AN108" s="97"/>
    </row>
    <row r="109" spans="1:40" ht="12.75">
      <c r="A109" s="166">
        <f t="shared" si="7"/>
        <v>107</v>
      </c>
      <c r="B109" s="94" t="s">
        <v>544</v>
      </c>
      <c r="C109" s="95">
        <v>9</v>
      </c>
      <c r="D109" s="95">
        <v>3</v>
      </c>
      <c r="E109" s="456" t="s">
        <v>545</v>
      </c>
      <c r="F109" s="95" t="s">
        <v>780</v>
      </c>
      <c r="G109" s="95" t="s">
        <v>488</v>
      </c>
      <c r="H109" s="96" t="s">
        <v>862</v>
      </c>
      <c r="I109" s="96" t="s">
        <v>1128</v>
      </c>
      <c r="J109" s="97" t="s">
        <v>1551</v>
      </c>
      <c r="K109" s="166">
        <f t="shared" si="4"/>
        <v>107</v>
      </c>
      <c r="L109" s="94" t="s">
        <v>581</v>
      </c>
      <c r="M109" s="95">
        <v>10</v>
      </c>
      <c r="N109" s="95">
        <v>5</v>
      </c>
      <c r="O109" s="456" t="s">
        <v>582</v>
      </c>
      <c r="P109" s="95" t="s">
        <v>780</v>
      </c>
      <c r="Q109" s="95" t="s">
        <v>575</v>
      </c>
      <c r="R109" s="95" t="s">
        <v>862</v>
      </c>
      <c r="S109" s="96" t="s">
        <v>1136</v>
      </c>
      <c r="T109" s="97" t="s">
        <v>1575</v>
      </c>
      <c r="U109" s="166">
        <f t="shared" si="5"/>
        <v>107</v>
      </c>
      <c r="V109" s="500" t="s">
        <v>562</v>
      </c>
      <c r="W109" s="95">
        <v>9</v>
      </c>
      <c r="X109" s="95">
        <v>2</v>
      </c>
      <c r="Y109" s="456" t="s">
        <v>563</v>
      </c>
      <c r="Z109" s="95" t="s">
        <v>780</v>
      </c>
      <c r="AA109" s="96" t="s">
        <v>174</v>
      </c>
      <c r="AB109" s="96" t="s">
        <v>860</v>
      </c>
      <c r="AC109" s="96" t="s">
        <v>1132</v>
      </c>
      <c r="AD109" s="543" t="s">
        <v>1598</v>
      </c>
      <c r="AE109" s="95">
        <f t="shared" si="6"/>
        <v>107</v>
      </c>
      <c r="AF109" s="94"/>
      <c r="AN109" s="97"/>
    </row>
    <row r="110" spans="1:40" ht="12.75">
      <c r="A110" s="166">
        <f t="shared" si="7"/>
        <v>108</v>
      </c>
      <c r="B110" s="94" t="s">
        <v>2139</v>
      </c>
      <c r="C110" s="95">
        <v>9</v>
      </c>
      <c r="D110" s="95">
        <v>4</v>
      </c>
      <c r="E110" s="457" t="s">
        <v>2140</v>
      </c>
      <c r="F110" s="95">
        <v>4</v>
      </c>
      <c r="G110" s="95" t="s">
        <v>185</v>
      </c>
      <c r="H110" s="95" t="s">
        <v>2141</v>
      </c>
      <c r="I110" s="95" t="s">
        <v>888</v>
      </c>
      <c r="J110" s="97" t="s">
        <v>1550</v>
      </c>
      <c r="K110" s="166">
        <f t="shared" si="4"/>
        <v>108</v>
      </c>
      <c r="L110" s="94" t="s">
        <v>587</v>
      </c>
      <c r="M110" s="95">
        <v>10</v>
      </c>
      <c r="N110" s="96">
        <v>5</v>
      </c>
      <c r="O110" s="456" t="s">
        <v>545</v>
      </c>
      <c r="P110" s="95" t="s">
        <v>780</v>
      </c>
      <c r="Q110" s="95" t="s">
        <v>442</v>
      </c>
      <c r="R110" s="96" t="s">
        <v>870</v>
      </c>
      <c r="S110" s="96" t="s">
        <v>1136</v>
      </c>
      <c r="T110" s="97" t="s">
        <v>1575</v>
      </c>
      <c r="U110" s="166">
        <f t="shared" si="5"/>
        <v>108</v>
      </c>
      <c r="V110" s="500" t="s">
        <v>2270</v>
      </c>
      <c r="W110" s="95">
        <v>9</v>
      </c>
      <c r="X110" s="95">
        <v>3</v>
      </c>
      <c r="Y110" s="457" t="s">
        <v>519</v>
      </c>
      <c r="Z110" s="95">
        <v>6</v>
      </c>
      <c r="AA110" s="95" t="s">
        <v>238</v>
      </c>
      <c r="AB110" s="95" t="s">
        <v>862</v>
      </c>
      <c r="AC110" s="95" t="s">
        <v>894</v>
      </c>
      <c r="AD110" s="543" t="s">
        <v>1599</v>
      </c>
      <c r="AE110" s="95">
        <f t="shared" si="6"/>
        <v>108</v>
      </c>
      <c r="AF110" s="94"/>
      <c r="AN110" s="97"/>
    </row>
    <row r="111" spans="1:40" ht="12.75">
      <c r="A111" s="166">
        <f t="shared" si="7"/>
        <v>109</v>
      </c>
      <c r="B111" s="94" t="s">
        <v>553</v>
      </c>
      <c r="C111" s="95">
        <v>9</v>
      </c>
      <c r="D111" s="95">
        <v>3</v>
      </c>
      <c r="E111" s="456" t="s">
        <v>545</v>
      </c>
      <c r="F111" s="95" t="s">
        <v>780</v>
      </c>
      <c r="G111" s="95" t="s">
        <v>286</v>
      </c>
      <c r="H111" s="96" t="s">
        <v>868</v>
      </c>
      <c r="I111" s="95" t="s">
        <v>888</v>
      </c>
      <c r="J111" s="97" t="s">
        <v>1551</v>
      </c>
      <c r="K111" s="166">
        <f t="shared" si="4"/>
        <v>109</v>
      </c>
      <c r="L111" s="94"/>
      <c r="T111" s="97"/>
      <c r="U111" s="166">
        <f t="shared" si="5"/>
        <v>109</v>
      </c>
      <c r="V111" s="500" t="s">
        <v>576</v>
      </c>
      <c r="W111" s="95">
        <v>9</v>
      </c>
      <c r="X111" s="95">
        <v>1</v>
      </c>
      <c r="Y111" s="456" t="s">
        <v>577</v>
      </c>
      <c r="Z111" s="95" t="s">
        <v>780</v>
      </c>
      <c r="AA111" s="95" t="s">
        <v>323</v>
      </c>
      <c r="AB111" s="96" t="s">
        <v>2394</v>
      </c>
      <c r="AC111" s="95" t="s">
        <v>888</v>
      </c>
      <c r="AD111" s="543" t="s">
        <v>1600</v>
      </c>
      <c r="AE111" s="95">
        <f t="shared" si="6"/>
        <v>109</v>
      </c>
      <c r="AF111" s="94"/>
      <c r="AN111" s="97"/>
    </row>
    <row r="112" spans="1:40" ht="12.75">
      <c r="A112" s="166">
        <f t="shared" si="7"/>
        <v>110</v>
      </c>
      <c r="B112" s="94" t="s">
        <v>559</v>
      </c>
      <c r="C112" s="95">
        <v>9</v>
      </c>
      <c r="D112" s="95">
        <v>4</v>
      </c>
      <c r="E112" s="456" t="s">
        <v>492</v>
      </c>
      <c r="F112" s="95" t="s">
        <v>780</v>
      </c>
      <c r="G112" s="96" t="s">
        <v>286</v>
      </c>
      <c r="H112" s="96" t="s">
        <v>867</v>
      </c>
      <c r="I112" s="96" t="s">
        <v>1128</v>
      </c>
      <c r="J112" s="97" t="s">
        <v>1552</v>
      </c>
      <c r="K112" s="166">
        <f t="shared" si="4"/>
        <v>110</v>
      </c>
      <c r="L112" s="94"/>
      <c r="T112" s="97"/>
      <c r="U112" s="166">
        <f t="shared" si="5"/>
        <v>110</v>
      </c>
      <c r="V112" s="500" t="s">
        <v>2271</v>
      </c>
      <c r="W112" s="95">
        <v>9</v>
      </c>
      <c r="X112" s="95">
        <v>4</v>
      </c>
      <c r="Y112" s="457" t="s">
        <v>519</v>
      </c>
      <c r="Z112" s="95" t="s">
        <v>780</v>
      </c>
      <c r="AA112" s="95" t="s">
        <v>323</v>
      </c>
      <c r="AB112" s="95" t="s">
        <v>871</v>
      </c>
      <c r="AC112" s="95" t="s">
        <v>888</v>
      </c>
      <c r="AD112" s="543" t="s">
        <v>1599</v>
      </c>
      <c r="AE112" s="95">
        <f t="shared" si="6"/>
        <v>110</v>
      </c>
      <c r="AF112" s="94"/>
      <c r="AN112" s="97"/>
    </row>
    <row r="113" spans="1:40" ht="12.75">
      <c r="A113" s="166">
        <f t="shared" si="7"/>
        <v>111</v>
      </c>
      <c r="B113" s="94" t="s">
        <v>572</v>
      </c>
      <c r="C113" s="95">
        <v>9</v>
      </c>
      <c r="D113" s="95">
        <v>5</v>
      </c>
      <c r="E113" s="456" t="s">
        <v>573</v>
      </c>
      <c r="F113" s="95" t="s">
        <v>780</v>
      </c>
      <c r="G113" s="95" t="s">
        <v>323</v>
      </c>
      <c r="H113" s="96" t="s">
        <v>867</v>
      </c>
      <c r="I113" s="95" t="s">
        <v>1164</v>
      </c>
      <c r="J113" s="97" t="s">
        <v>1552</v>
      </c>
      <c r="K113" s="166">
        <f t="shared" si="4"/>
        <v>111</v>
      </c>
      <c r="L113" s="94"/>
      <c r="T113" s="97"/>
      <c r="U113" s="166">
        <f t="shared" si="5"/>
        <v>111</v>
      </c>
      <c r="V113" s="500" t="s">
        <v>583</v>
      </c>
      <c r="W113" s="95">
        <v>9</v>
      </c>
      <c r="X113" s="95">
        <v>4</v>
      </c>
      <c r="Y113" s="456" t="s">
        <v>531</v>
      </c>
      <c r="Z113" s="95" t="s">
        <v>780</v>
      </c>
      <c r="AA113" s="95" t="s">
        <v>174</v>
      </c>
      <c r="AB113" s="95" t="s">
        <v>2394</v>
      </c>
      <c r="AC113" s="96" t="s">
        <v>1136</v>
      </c>
      <c r="AD113" s="543" t="s">
        <v>1600</v>
      </c>
      <c r="AE113" s="95">
        <f t="shared" si="6"/>
        <v>111</v>
      </c>
      <c r="AF113" s="94"/>
      <c r="AN113" s="97"/>
    </row>
    <row r="114" spans="1:40" ht="12.75">
      <c r="A114" s="166">
        <f t="shared" si="7"/>
        <v>112</v>
      </c>
      <c r="B114" s="94" t="s">
        <v>580</v>
      </c>
      <c r="C114" s="95">
        <v>9</v>
      </c>
      <c r="D114" s="95">
        <v>4</v>
      </c>
      <c r="E114" s="456" t="s">
        <v>492</v>
      </c>
      <c r="F114" s="95" t="s">
        <v>780</v>
      </c>
      <c r="G114" s="95" t="s">
        <v>286</v>
      </c>
      <c r="H114" s="95" t="s">
        <v>867</v>
      </c>
      <c r="I114" s="96" t="s">
        <v>1128</v>
      </c>
      <c r="J114" s="97" t="s">
        <v>1552</v>
      </c>
      <c r="K114" s="166">
        <f t="shared" si="4"/>
        <v>112</v>
      </c>
      <c r="L114" s="94"/>
      <c r="T114" s="97"/>
      <c r="U114" s="166">
        <f t="shared" si="5"/>
        <v>112</v>
      </c>
      <c r="V114" s="500" t="s">
        <v>2272</v>
      </c>
      <c r="W114" s="95">
        <v>10</v>
      </c>
      <c r="X114" s="95">
        <v>3</v>
      </c>
      <c r="Y114" s="457" t="s">
        <v>360</v>
      </c>
      <c r="Z114" s="95" t="s">
        <v>780</v>
      </c>
      <c r="AA114" s="95" t="s">
        <v>174</v>
      </c>
      <c r="AB114" s="95" t="s">
        <v>2273</v>
      </c>
      <c r="AC114" s="95" t="s">
        <v>2274</v>
      </c>
      <c r="AD114" s="543" t="s">
        <v>1528</v>
      </c>
      <c r="AE114" s="95">
        <f t="shared" si="6"/>
        <v>112</v>
      </c>
      <c r="AF114" s="94"/>
      <c r="AN114" s="97"/>
    </row>
    <row r="115" spans="1:40" ht="12.75">
      <c r="A115" s="166">
        <f t="shared" si="7"/>
        <v>113</v>
      </c>
      <c r="B115" s="94" t="s">
        <v>585</v>
      </c>
      <c r="C115" s="95">
        <v>10</v>
      </c>
      <c r="D115" s="96" t="s">
        <v>359</v>
      </c>
      <c r="E115" s="456" t="s">
        <v>586</v>
      </c>
      <c r="F115" s="95" t="s">
        <v>780</v>
      </c>
      <c r="G115" s="95" t="s">
        <v>174</v>
      </c>
      <c r="H115" s="96" t="s">
        <v>868</v>
      </c>
      <c r="I115" s="96" t="s">
        <v>1746</v>
      </c>
      <c r="J115" s="97" t="s">
        <v>1553</v>
      </c>
      <c r="K115" s="166">
        <f t="shared" si="4"/>
        <v>113</v>
      </c>
      <c r="L115" s="94"/>
      <c r="T115" s="97"/>
      <c r="U115" s="166">
        <f t="shared" si="5"/>
        <v>113</v>
      </c>
      <c r="V115" s="500" t="s">
        <v>2275</v>
      </c>
      <c r="W115" s="95">
        <v>10</v>
      </c>
      <c r="X115" s="95">
        <v>5</v>
      </c>
      <c r="Y115" s="457" t="s">
        <v>2276</v>
      </c>
      <c r="Z115" s="95" t="s">
        <v>780</v>
      </c>
      <c r="AA115" s="95" t="s">
        <v>366</v>
      </c>
      <c r="AB115" s="95" t="s">
        <v>865</v>
      </c>
      <c r="AC115" s="95" t="s">
        <v>888</v>
      </c>
      <c r="AD115" s="543" t="s">
        <v>1599</v>
      </c>
      <c r="AE115" s="95">
        <f t="shared" si="6"/>
        <v>113</v>
      </c>
      <c r="AF115" s="94"/>
      <c r="AN115" s="97"/>
    </row>
    <row r="116" spans="1:40" ht="12.75">
      <c r="A116" s="166">
        <f t="shared" si="7"/>
        <v>114</v>
      </c>
      <c r="B116" s="94" t="s">
        <v>591</v>
      </c>
      <c r="C116" s="95">
        <v>10</v>
      </c>
      <c r="D116" s="95">
        <v>3</v>
      </c>
      <c r="E116" s="456" t="s">
        <v>592</v>
      </c>
      <c r="F116" s="95" t="s">
        <v>780</v>
      </c>
      <c r="G116" s="95" t="s">
        <v>194</v>
      </c>
      <c r="H116" s="96" t="s">
        <v>867</v>
      </c>
      <c r="I116" s="96" t="s">
        <v>1128</v>
      </c>
      <c r="J116" s="97" t="s">
        <v>1553</v>
      </c>
      <c r="K116" s="166">
        <f t="shared" si="4"/>
        <v>114</v>
      </c>
      <c r="L116" s="94"/>
      <c r="T116" s="97"/>
      <c r="U116" s="166">
        <f t="shared" si="5"/>
        <v>114</v>
      </c>
      <c r="V116" s="500" t="s">
        <v>588</v>
      </c>
      <c r="W116" s="95">
        <v>10</v>
      </c>
      <c r="X116" s="96">
        <v>3</v>
      </c>
      <c r="Y116" s="456" t="s">
        <v>506</v>
      </c>
      <c r="Z116" s="95" t="s">
        <v>780</v>
      </c>
      <c r="AA116" s="95" t="s">
        <v>323</v>
      </c>
      <c r="AB116" s="96" t="s">
        <v>867</v>
      </c>
      <c r="AC116" s="95" t="s">
        <v>888</v>
      </c>
      <c r="AD116" s="543" t="s">
        <v>1600</v>
      </c>
      <c r="AE116" s="95">
        <f t="shared" si="6"/>
        <v>114</v>
      </c>
      <c r="AF116" s="94"/>
      <c r="AN116" s="97"/>
    </row>
    <row r="117" spans="1:40" ht="12.75">
      <c r="A117" s="166">
        <f t="shared" si="7"/>
        <v>115</v>
      </c>
      <c r="B117" s="94" t="s">
        <v>595</v>
      </c>
      <c r="C117" s="95">
        <v>10</v>
      </c>
      <c r="D117" s="95">
        <v>3</v>
      </c>
      <c r="E117" s="456" t="s">
        <v>557</v>
      </c>
      <c r="F117" s="95" t="s">
        <v>780</v>
      </c>
      <c r="G117" s="95" t="s">
        <v>286</v>
      </c>
      <c r="H117" s="96" t="s">
        <v>859</v>
      </c>
      <c r="I117" s="96" t="s">
        <v>1138</v>
      </c>
      <c r="J117" s="97" t="s">
        <v>1553</v>
      </c>
      <c r="K117" s="166">
        <f t="shared" si="4"/>
        <v>115</v>
      </c>
      <c r="L117" s="94"/>
      <c r="T117" s="97"/>
      <c r="U117" s="166">
        <f t="shared" si="5"/>
        <v>115</v>
      </c>
      <c r="V117" s="500" t="s">
        <v>593</v>
      </c>
      <c r="W117" s="95">
        <v>10</v>
      </c>
      <c r="X117" s="95">
        <v>7</v>
      </c>
      <c r="Y117" s="456" t="s">
        <v>590</v>
      </c>
      <c r="Z117" s="95" t="s">
        <v>780</v>
      </c>
      <c r="AA117" s="95" t="s">
        <v>323</v>
      </c>
      <c r="AB117" s="96" t="s">
        <v>868</v>
      </c>
      <c r="AC117" s="95" t="s">
        <v>888</v>
      </c>
      <c r="AD117" s="543" t="s">
        <v>1600</v>
      </c>
      <c r="AE117" s="95">
        <f t="shared" si="6"/>
        <v>115</v>
      </c>
      <c r="AF117" s="94"/>
      <c r="AN117" s="97"/>
    </row>
    <row r="118" spans="1:40" ht="12.75">
      <c r="A118" s="166">
        <f t="shared" si="7"/>
        <v>116</v>
      </c>
      <c r="B118" s="94" t="s">
        <v>599</v>
      </c>
      <c r="C118" s="95">
        <v>10</v>
      </c>
      <c r="D118" s="95">
        <v>3</v>
      </c>
      <c r="E118" s="456" t="s">
        <v>600</v>
      </c>
      <c r="F118" s="95" t="s">
        <v>780</v>
      </c>
      <c r="G118" s="95" t="s">
        <v>194</v>
      </c>
      <c r="H118" s="96" t="s">
        <v>866</v>
      </c>
      <c r="I118" s="96" t="s">
        <v>1128</v>
      </c>
      <c r="J118" s="97" t="s">
        <v>1554</v>
      </c>
      <c r="K118" s="166">
        <f t="shared" si="4"/>
        <v>116</v>
      </c>
      <c r="L118" s="94"/>
      <c r="T118" s="97"/>
      <c r="U118" s="166">
        <f t="shared" si="5"/>
        <v>116</v>
      </c>
      <c r="V118" s="500" t="s">
        <v>596</v>
      </c>
      <c r="W118" s="95">
        <v>10</v>
      </c>
      <c r="X118" s="95">
        <v>5</v>
      </c>
      <c r="Y118" s="456" t="s">
        <v>468</v>
      </c>
      <c r="Z118" s="95" t="s">
        <v>780</v>
      </c>
      <c r="AA118" s="95" t="s">
        <v>597</v>
      </c>
      <c r="AB118" s="96" t="s">
        <v>867</v>
      </c>
      <c r="AC118" s="96" t="s">
        <v>1132</v>
      </c>
      <c r="AD118" s="543" t="s">
        <v>1601</v>
      </c>
      <c r="AE118" s="95">
        <f t="shared" si="6"/>
        <v>116</v>
      </c>
      <c r="AF118" s="94"/>
      <c r="AN118" s="97"/>
    </row>
    <row r="119" spans="1:40" ht="12.75">
      <c r="A119" s="166">
        <f t="shared" si="7"/>
        <v>117</v>
      </c>
      <c r="B119" s="94" t="s">
        <v>2144</v>
      </c>
      <c r="C119" s="95">
        <v>10</v>
      </c>
      <c r="D119" s="95">
        <v>5</v>
      </c>
      <c r="E119" s="457" t="s">
        <v>2142</v>
      </c>
      <c r="F119" s="95">
        <v>9</v>
      </c>
      <c r="G119" s="95" t="s">
        <v>197</v>
      </c>
      <c r="H119" s="95" t="s">
        <v>2143</v>
      </c>
      <c r="I119" s="95" t="s">
        <v>888</v>
      </c>
      <c r="J119" s="97" t="s">
        <v>1550</v>
      </c>
      <c r="K119" s="166">
        <f t="shared" si="4"/>
        <v>117</v>
      </c>
      <c r="L119" s="94"/>
      <c r="T119" s="97"/>
      <c r="U119" s="166">
        <f t="shared" si="5"/>
        <v>117</v>
      </c>
      <c r="V119" s="500" t="s">
        <v>2277</v>
      </c>
      <c r="W119" s="95">
        <v>10</v>
      </c>
      <c r="X119" s="95">
        <v>6</v>
      </c>
      <c r="Y119" s="457" t="s">
        <v>2130</v>
      </c>
      <c r="Z119" s="95" t="s">
        <v>780</v>
      </c>
      <c r="AA119" s="95" t="s">
        <v>174</v>
      </c>
      <c r="AB119" s="95" t="s">
        <v>2278</v>
      </c>
      <c r="AC119" s="95" t="s">
        <v>1142</v>
      </c>
      <c r="AD119" s="543" t="s">
        <v>1599</v>
      </c>
      <c r="AE119" s="95">
        <f t="shared" si="6"/>
        <v>117</v>
      </c>
      <c r="AF119" s="94"/>
      <c r="AN119" s="97"/>
    </row>
    <row r="120" spans="1:40" ht="12.75">
      <c r="A120" s="166">
        <f t="shared" si="7"/>
        <v>118</v>
      </c>
      <c r="B120" s="94" t="s">
        <v>2145</v>
      </c>
      <c r="C120" s="95">
        <v>10</v>
      </c>
      <c r="D120" s="95">
        <v>4</v>
      </c>
      <c r="E120" s="457" t="s">
        <v>2146</v>
      </c>
      <c r="F120" s="95" t="s">
        <v>780</v>
      </c>
      <c r="G120" s="95" t="s">
        <v>224</v>
      </c>
      <c r="H120" s="95" t="s">
        <v>859</v>
      </c>
      <c r="I120" s="95" t="s">
        <v>1136</v>
      </c>
      <c r="J120" s="97" t="s">
        <v>1550</v>
      </c>
      <c r="K120" s="166">
        <f t="shared" si="4"/>
        <v>118</v>
      </c>
      <c r="L120" s="94"/>
      <c r="T120" s="97"/>
      <c r="U120" s="166">
        <f t="shared" si="5"/>
        <v>118</v>
      </c>
      <c r="V120" s="500" t="s">
        <v>2279</v>
      </c>
      <c r="W120" s="95">
        <v>10</v>
      </c>
      <c r="X120" s="95">
        <v>4</v>
      </c>
      <c r="Y120" s="457" t="s">
        <v>2117</v>
      </c>
      <c r="Z120" s="95">
        <v>10</v>
      </c>
      <c r="AA120" s="95" t="s">
        <v>182</v>
      </c>
      <c r="AB120" s="95" t="s">
        <v>859</v>
      </c>
      <c r="AC120" s="95" t="s">
        <v>1132</v>
      </c>
      <c r="AD120" s="543" t="s">
        <v>1599</v>
      </c>
      <c r="AE120" s="95">
        <f t="shared" si="6"/>
        <v>118</v>
      </c>
      <c r="AF120" s="94"/>
      <c r="AN120" s="97"/>
    </row>
    <row r="121" spans="1:40" ht="12.75">
      <c r="A121" s="166">
        <f t="shared" si="7"/>
        <v>119</v>
      </c>
      <c r="B121" s="94" t="s">
        <v>605</v>
      </c>
      <c r="C121" s="95">
        <v>10</v>
      </c>
      <c r="D121" s="95">
        <v>5</v>
      </c>
      <c r="E121" s="456" t="s">
        <v>486</v>
      </c>
      <c r="F121" s="95" t="s">
        <v>780</v>
      </c>
      <c r="G121" s="95" t="s">
        <v>606</v>
      </c>
      <c r="H121" s="96" t="s">
        <v>862</v>
      </c>
      <c r="I121" s="95" t="s">
        <v>1153</v>
      </c>
      <c r="J121" s="97" t="s">
        <v>1554</v>
      </c>
      <c r="K121" s="166">
        <f t="shared" si="4"/>
        <v>119</v>
      </c>
      <c r="L121" s="94"/>
      <c r="T121" s="97"/>
      <c r="U121" s="166">
        <f t="shared" si="5"/>
        <v>119</v>
      </c>
      <c r="V121" s="500" t="s">
        <v>601</v>
      </c>
      <c r="W121" s="95">
        <v>10</v>
      </c>
      <c r="X121" s="95">
        <v>6</v>
      </c>
      <c r="Y121" s="456" t="s">
        <v>602</v>
      </c>
      <c r="Z121" s="95" t="s">
        <v>780</v>
      </c>
      <c r="AA121" s="95" t="s">
        <v>174</v>
      </c>
      <c r="AB121" s="96" t="s">
        <v>868</v>
      </c>
      <c r="AC121" s="96" t="s">
        <v>1159</v>
      </c>
      <c r="AD121" s="543" t="s">
        <v>1601</v>
      </c>
      <c r="AE121" s="95">
        <f t="shared" si="6"/>
        <v>119</v>
      </c>
      <c r="AF121" s="94"/>
      <c r="AN121" s="97"/>
    </row>
    <row r="122" spans="1:40" ht="12.75">
      <c r="A122" s="166">
        <f t="shared" si="7"/>
        <v>120</v>
      </c>
      <c r="B122" s="99"/>
      <c r="C122" s="459"/>
      <c r="D122" s="459"/>
      <c r="E122" s="460"/>
      <c r="F122" s="459"/>
      <c r="G122" s="459"/>
      <c r="H122" s="459"/>
      <c r="I122" s="459"/>
      <c r="J122" s="173"/>
      <c r="K122" s="166">
        <f t="shared" si="4"/>
        <v>120</v>
      </c>
      <c r="L122" s="99"/>
      <c r="M122" s="459"/>
      <c r="N122" s="459"/>
      <c r="O122" s="460"/>
      <c r="P122" s="459"/>
      <c r="Q122" s="459"/>
      <c r="R122" s="459"/>
      <c r="S122" s="459"/>
      <c r="T122" s="173"/>
      <c r="U122" s="166">
        <f t="shared" si="5"/>
        <v>120</v>
      </c>
      <c r="V122" s="501" t="s">
        <v>607</v>
      </c>
      <c r="W122" s="459">
        <v>10</v>
      </c>
      <c r="X122" s="459">
        <v>2</v>
      </c>
      <c r="Y122" s="505" t="s">
        <v>608</v>
      </c>
      <c r="Z122" s="459" t="s">
        <v>780</v>
      </c>
      <c r="AA122" s="459" t="s">
        <v>286</v>
      </c>
      <c r="AB122" s="506" t="s">
        <v>867</v>
      </c>
      <c r="AC122" s="459" t="s">
        <v>888</v>
      </c>
      <c r="AD122" s="544" t="s">
        <v>1601</v>
      </c>
      <c r="AE122" s="95">
        <f t="shared" si="6"/>
        <v>120</v>
      </c>
      <c r="AF122" s="99"/>
      <c r="AG122" s="459"/>
      <c r="AH122" s="459"/>
      <c r="AI122" s="460"/>
      <c r="AJ122" s="459"/>
      <c r="AK122" s="459"/>
      <c r="AL122" s="459"/>
      <c r="AM122" s="459"/>
      <c r="AN122" s="173"/>
    </row>
  </sheetData>
  <mergeCells count="4">
    <mergeCell ref="B1:J1"/>
    <mergeCell ref="L1:T1"/>
    <mergeCell ref="V1:AD1"/>
    <mergeCell ref="AF1:AN1"/>
  </mergeCells>
  <printOptions gridLines="1" horizontalCentered="1"/>
  <pageMargins left="0.75" right="0.75" top="1" bottom="1" header="0.5" footer="0.5"/>
  <pageSetup horizontalDpi="600" verticalDpi="600" orientation="landscape" scale="94" r:id="rId1"/>
  <headerFooter alignWithMargins="0">
    <oddHeader>&amp;C&amp;A</oddHeader>
    <oddFooter>&amp;CPage &amp;P</oddFooter>
  </headerFooter>
  <colBreaks count="3" manualBreakCount="3">
    <brk id="10" max="65535" man="1"/>
    <brk id="20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BT61"/>
  <sheetViews>
    <sheetView zoomScale="75" zoomScaleNormal="75" workbookViewId="0" topLeftCell="A1">
      <selection activeCell="A1" sqref="A1"/>
    </sheetView>
  </sheetViews>
  <sheetFormatPr defaultColWidth="9.33203125" defaultRowHeight="12.75" customHeight="1"/>
  <cols>
    <col min="1" max="16384" width="1.83203125" style="1" customWidth="1"/>
  </cols>
  <sheetData>
    <row r="1" spans="27:58" ht="12.75" customHeight="1">
      <c r="AA1" s="426">
        <f>Name</f>
        <v>0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93"/>
    </row>
    <row r="2" spans="27:58" ht="12.75" customHeight="1" thickBot="1">
      <c r="AA2" s="151" t="e">
        <f>RaceName&amp;" "&amp;Title1&amp;IF(Title2&lt;&gt;" "," and "&amp;Title2,"")</f>
        <v>#N/A</v>
      </c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43"/>
    </row>
    <row r="3" spans="27:58" ht="12.75" customHeight="1">
      <c r="AA3" s="15" t="str">
        <f>"Gender: "&amp;Sex</f>
        <v>Gender: </v>
      </c>
      <c r="AB3" s="16"/>
      <c r="AC3" s="16"/>
      <c r="AD3" s="144"/>
      <c r="AE3" s="144"/>
      <c r="AF3" s="144"/>
      <c r="AG3" s="144"/>
      <c r="AH3" s="145"/>
      <c r="AI3" s="17" t="str">
        <f>"Height: "&amp;Height</f>
        <v>Height: </v>
      </c>
      <c r="AJ3" s="16"/>
      <c r="AK3" s="16"/>
      <c r="AL3" s="16"/>
      <c r="AM3" s="144"/>
      <c r="AN3" s="144"/>
      <c r="AO3" s="144"/>
      <c r="AP3" s="145"/>
      <c r="AQ3" s="17" t="str">
        <f>"Hair: "&amp;Hair</f>
        <v>Hair: </v>
      </c>
      <c r="AR3" s="16"/>
      <c r="AS3" s="16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6"/>
    </row>
    <row r="4" spans="27:58" ht="12.75" customHeight="1" thickBot="1">
      <c r="AA4" s="23" t="str">
        <f>"Age: "&amp;Age&amp;" years"</f>
        <v>Age:  years</v>
      </c>
      <c r="AB4" s="19"/>
      <c r="AC4" s="19"/>
      <c r="AD4" s="141"/>
      <c r="AE4" s="141"/>
      <c r="AF4" s="141"/>
      <c r="AG4" s="141"/>
      <c r="AH4" s="138"/>
      <c r="AI4" s="25" t="str">
        <f>"Weight: "&amp;Weight&amp;" lbs"</f>
        <v>Weight:  lbs</v>
      </c>
      <c r="AJ4" s="19"/>
      <c r="AK4" s="19"/>
      <c r="AL4" s="19"/>
      <c r="AM4" s="141"/>
      <c r="AN4" s="141"/>
      <c r="AO4" s="141"/>
      <c r="AP4" s="138"/>
      <c r="AQ4" s="25" t="str">
        <f>"Eyes: "&amp;Eyes</f>
        <v>Eyes: </v>
      </c>
      <c r="AR4" s="19"/>
      <c r="AS4" s="19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7"/>
    </row>
    <row r="5" spans="1:58" ht="12.75" customHeight="1">
      <c r="A5" s="448" t="s">
        <v>740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576" t="s">
        <v>2388</v>
      </c>
      <c r="M5" s="576"/>
      <c r="N5" s="576" t="s">
        <v>1819</v>
      </c>
      <c r="O5" s="576"/>
      <c r="P5" s="576"/>
      <c r="Q5" s="577"/>
      <c r="S5" s="18" t="s">
        <v>2399</v>
      </c>
      <c r="T5" s="26"/>
      <c r="U5" s="26"/>
      <c r="V5" s="26"/>
      <c r="W5" s="26"/>
      <c r="X5" s="26"/>
      <c r="Y5" s="27"/>
      <c r="AA5" s="435" t="str">
        <f>"Appearance: "&amp;Appearance</f>
        <v>Appearance: </v>
      </c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8"/>
      <c r="AQ5" s="598"/>
      <c r="AR5" s="598"/>
      <c r="AS5" s="598"/>
      <c r="AT5" s="598"/>
      <c r="AU5" s="598"/>
      <c r="AV5" s="598"/>
      <c r="AW5" s="598"/>
      <c r="AX5" s="598"/>
      <c r="AY5" s="598"/>
      <c r="AZ5" s="598"/>
      <c r="BA5" s="598"/>
      <c r="BB5" s="598"/>
      <c r="BC5" s="598"/>
      <c r="BD5" s="598"/>
      <c r="BE5" s="598"/>
      <c r="BF5" s="599"/>
    </row>
    <row r="6" spans="1:58" ht="12.75" customHeight="1" thickBot="1">
      <c r="A6" s="3" t="s">
        <v>2478</v>
      </c>
      <c r="B6" s="7"/>
      <c r="C6" s="7"/>
      <c r="D6" s="7"/>
      <c r="E6" s="7"/>
      <c r="F6" s="7"/>
      <c r="G6" s="7"/>
      <c r="H6" s="7"/>
      <c r="I6" s="433" t="e">
        <f>Build!N481</f>
        <v>#N/A</v>
      </c>
      <c r="J6" s="433"/>
      <c r="K6" s="433"/>
      <c r="L6" s="433" t="e">
        <f>DexStep</f>
        <v>#N/A</v>
      </c>
      <c r="M6" s="433"/>
      <c r="N6" s="433" t="e">
        <f ca="1">OFFSET(ActionDice,DexStep,0)</f>
        <v>#N/A</v>
      </c>
      <c r="O6" s="433"/>
      <c r="P6" s="433"/>
      <c r="Q6" s="434"/>
      <c r="S6" s="21" t="s">
        <v>2481</v>
      </c>
      <c r="T6" s="9"/>
      <c r="U6" s="9"/>
      <c r="V6" s="582" t="e">
        <f>KarmaMax</f>
        <v>#N/A</v>
      </c>
      <c r="W6" s="582"/>
      <c r="X6" s="582"/>
      <c r="Y6" s="597"/>
      <c r="AA6" s="600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601"/>
      <c r="AM6" s="601"/>
      <c r="AN6" s="601"/>
      <c r="AO6" s="601"/>
      <c r="AP6" s="601"/>
      <c r="AQ6" s="601"/>
      <c r="AR6" s="601"/>
      <c r="AS6" s="601"/>
      <c r="AT6" s="601"/>
      <c r="AU6" s="601"/>
      <c r="AV6" s="601"/>
      <c r="AW6" s="601"/>
      <c r="AX6" s="601"/>
      <c r="AY6" s="601"/>
      <c r="AZ6" s="601"/>
      <c r="BA6" s="601"/>
      <c r="BB6" s="601"/>
      <c r="BC6" s="601"/>
      <c r="BD6" s="601"/>
      <c r="BE6" s="601"/>
      <c r="BF6" s="602"/>
    </row>
    <row r="7" spans="1:25" ht="12.75" customHeight="1" thickBot="1">
      <c r="A7" s="3" t="s">
        <v>2396</v>
      </c>
      <c r="B7" s="7"/>
      <c r="C7" s="7"/>
      <c r="D7" s="7"/>
      <c r="E7" s="7"/>
      <c r="F7" s="7"/>
      <c r="G7" s="7"/>
      <c r="H7" s="7"/>
      <c r="I7" s="433" t="e">
        <f>Build!N482</f>
        <v>#N/A</v>
      </c>
      <c r="J7" s="433"/>
      <c r="K7" s="433"/>
      <c r="L7" s="433" t="e">
        <f>StrStep</f>
        <v>#N/A</v>
      </c>
      <c r="M7" s="433"/>
      <c r="N7" s="433" t="e">
        <f ca="1">OFFSET(ActionDice,StrStep,0)</f>
        <v>#N/A</v>
      </c>
      <c r="O7" s="433"/>
      <c r="P7" s="433"/>
      <c r="Q7" s="434"/>
      <c r="S7" s="5" t="s">
        <v>2483</v>
      </c>
      <c r="T7" s="6"/>
      <c r="U7" s="6"/>
      <c r="V7" s="604" t="e">
        <f>RaceKarmaCost</f>
        <v>#N/A</v>
      </c>
      <c r="W7" s="604"/>
      <c r="X7" s="604"/>
      <c r="Y7" s="605"/>
    </row>
    <row r="8" spans="1:58" ht="12.75" customHeight="1">
      <c r="A8" s="3" t="s">
        <v>2482</v>
      </c>
      <c r="B8" s="7"/>
      <c r="C8" s="7"/>
      <c r="D8" s="7"/>
      <c r="E8" s="7"/>
      <c r="F8" s="7"/>
      <c r="G8" s="7"/>
      <c r="H8" s="7"/>
      <c r="I8" s="433" t="e">
        <f>Build!N483</f>
        <v>#N/A</v>
      </c>
      <c r="J8" s="433"/>
      <c r="K8" s="433"/>
      <c r="L8" s="433" t="e">
        <f>TouStep</f>
        <v>#N/A</v>
      </c>
      <c r="M8" s="433"/>
      <c r="N8" s="433" t="e">
        <f ca="1">OFFSET(ActionDice,TouStep,0)</f>
        <v>#N/A</v>
      </c>
      <c r="O8" s="433"/>
      <c r="P8" s="433"/>
      <c r="Q8" s="434"/>
      <c r="S8" s="23" t="s">
        <v>2486</v>
      </c>
      <c r="T8" s="19"/>
      <c r="U8" s="19"/>
      <c r="V8" s="606" t="e">
        <f>RaceKarmaDie</f>
        <v>#N/A</v>
      </c>
      <c r="W8" s="606"/>
      <c r="X8" s="606"/>
      <c r="Y8" s="607"/>
      <c r="AA8" s="448" t="s">
        <v>2400</v>
      </c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50"/>
      <c r="AO8" s="448" t="s">
        <v>2396</v>
      </c>
      <c r="AP8" s="449"/>
      <c r="AQ8" s="449"/>
      <c r="AR8" s="449"/>
      <c r="AS8" s="449"/>
      <c r="AT8" s="449"/>
      <c r="AU8" s="449"/>
      <c r="AV8" s="450"/>
      <c r="AX8" s="448" t="s">
        <v>2484</v>
      </c>
      <c r="AY8" s="449"/>
      <c r="AZ8" s="449"/>
      <c r="BA8" s="449"/>
      <c r="BB8" s="449"/>
      <c r="BC8" s="449"/>
      <c r="BD8" s="449"/>
      <c r="BE8" s="449"/>
      <c r="BF8" s="450"/>
    </row>
    <row r="9" spans="1:58" ht="12.75" customHeight="1">
      <c r="A9" s="3" t="s">
        <v>2485</v>
      </c>
      <c r="B9" s="7"/>
      <c r="C9" s="7"/>
      <c r="D9" s="7"/>
      <c r="E9" s="7"/>
      <c r="F9" s="7"/>
      <c r="G9" s="7"/>
      <c r="H9" s="7"/>
      <c r="I9" s="433" t="e">
        <f>Build!N484</f>
        <v>#N/A</v>
      </c>
      <c r="J9" s="433"/>
      <c r="K9" s="433"/>
      <c r="L9" s="433" t="e">
        <f>PerStep</f>
        <v>#N/A</v>
      </c>
      <c r="M9" s="433"/>
      <c r="N9" s="433" t="e">
        <f ca="1">OFFSET(ActionDice,PerStep,0)</f>
        <v>#N/A</v>
      </c>
      <c r="O9" s="433"/>
      <c r="P9" s="433"/>
      <c r="Q9" s="434"/>
      <c r="S9" s="5" t="s">
        <v>2439</v>
      </c>
      <c r="T9" s="6"/>
      <c r="U9" s="6"/>
      <c r="V9" s="6"/>
      <c r="W9" s="6"/>
      <c r="X9" s="6"/>
      <c r="Y9" s="11"/>
      <c r="AA9" s="3" t="s">
        <v>1818</v>
      </c>
      <c r="AB9" s="7"/>
      <c r="AC9" s="7"/>
      <c r="AD9" s="7"/>
      <c r="AE9" s="433" t="e">
        <f>INIT</f>
        <v>#N/A</v>
      </c>
      <c r="AF9" s="595"/>
      <c r="AG9" s="584" t="s">
        <v>1176</v>
      </c>
      <c r="AH9" s="582"/>
      <c r="AI9" s="582"/>
      <c r="AJ9" s="582"/>
      <c r="AK9" s="582"/>
      <c r="AL9" s="582"/>
      <c r="AM9" s="597"/>
      <c r="AO9" s="23" t="s">
        <v>2488</v>
      </c>
      <c r="AP9" s="19"/>
      <c r="AQ9" s="19"/>
      <c r="AR9" s="154"/>
      <c r="AS9" s="154"/>
      <c r="AT9" s="154"/>
      <c r="AU9" s="154"/>
      <c r="AV9" s="194" t="e">
        <f ca="1">OFFSET(AttribCarry,Strength,0)&amp;" lbs"</f>
        <v>#N/A</v>
      </c>
      <c r="AX9" s="3" t="s">
        <v>2489</v>
      </c>
      <c r="AY9" s="7"/>
      <c r="AZ9" s="7"/>
      <c r="BA9" s="7"/>
      <c r="BB9" s="195"/>
      <c r="BC9" s="195"/>
      <c r="BD9" s="195"/>
      <c r="BE9" s="195"/>
      <c r="BF9" s="196" t="e">
        <f ca="1">OFFSET(AttribMoveFull,Move,0)&amp;IF(Race=Windling,"/"&amp;OFFSET(AttribMoveFull,Move-8,0)&amp;" yds"," yards")</f>
        <v>#N/A</v>
      </c>
    </row>
    <row r="10" spans="1:58" ht="12.75" customHeight="1">
      <c r="A10" s="3" t="s">
        <v>2490</v>
      </c>
      <c r="B10" s="7"/>
      <c r="C10" s="7"/>
      <c r="D10" s="7"/>
      <c r="E10" s="7"/>
      <c r="F10" s="7"/>
      <c r="G10" s="7"/>
      <c r="H10" s="7"/>
      <c r="I10" s="433" t="e">
        <f>Build!N485</f>
        <v>#N/A</v>
      </c>
      <c r="J10" s="433"/>
      <c r="K10" s="433"/>
      <c r="L10" s="433" t="e">
        <f>WilStep</f>
        <v>#N/A</v>
      </c>
      <c r="M10" s="433"/>
      <c r="N10" s="433" t="e">
        <f ca="1">OFFSET(ActionDice,WilStep,0)</f>
        <v>#N/A</v>
      </c>
      <c r="O10" s="433"/>
      <c r="P10" s="433"/>
      <c r="Q10" s="434"/>
      <c r="S10" s="5"/>
      <c r="T10" s="6"/>
      <c r="U10" s="6"/>
      <c r="V10" s="6"/>
      <c r="W10" s="6"/>
      <c r="X10" s="6"/>
      <c r="Y10" s="11"/>
      <c r="AA10" s="3" t="s">
        <v>743</v>
      </c>
      <c r="AB10" s="7"/>
      <c r="AC10" s="7"/>
      <c r="AD10" s="7"/>
      <c r="AE10" s="433">
        <f>SUM(BC56:BD59)</f>
        <v>0</v>
      </c>
      <c r="AF10" s="595"/>
      <c r="AG10" s="585" t="e">
        <f ca="1">OFFSET(ActionDice,AE11,0)</f>
        <v>#N/A</v>
      </c>
      <c r="AH10" s="586"/>
      <c r="AI10" s="586"/>
      <c r="AJ10" s="586"/>
      <c r="AK10" s="586"/>
      <c r="AL10" s="586"/>
      <c r="AM10" s="587"/>
      <c r="AO10" s="23" t="s">
        <v>2491</v>
      </c>
      <c r="AP10" s="19"/>
      <c r="AQ10" s="19"/>
      <c r="AR10" s="154"/>
      <c r="AS10" s="154"/>
      <c r="AT10" s="154"/>
      <c r="AU10" s="154"/>
      <c r="AV10" s="194" t="e">
        <f ca="1">OFFSET(AttribLift,Strength,0)&amp;" lbs"</f>
        <v>#N/A</v>
      </c>
      <c r="AX10" s="3" t="s">
        <v>2492</v>
      </c>
      <c r="AY10" s="7"/>
      <c r="AZ10" s="7"/>
      <c r="BA10" s="7"/>
      <c r="BB10" s="7"/>
      <c r="BC10" s="195"/>
      <c r="BD10" s="195"/>
      <c r="BE10" s="195"/>
      <c r="BF10" s="196" t="e">
        <f ca="1">OFFSET(AttribMoveCombat,Move,0)&amp;IF(Race=Windling,"/"&amp;OFFSET(AttribMoveCombat,Move-8,0)&amp;" yds"," yards")</f>
        <v>#N/A</v>
      </c>
    </row>
    <row r="11" spans="1:67" ht="12.75" customHeight="1" thickBot="1">
      <c r="A11" s="4" t="s">
        <v>2493</v>
      </c>
      <c r="B11" s="10"/>
      <c r="C11" s="10"/>
      <c r="D11" s="10"/>
      <c r="E11" s="10"/>
      <c r="F11" s="10"/>
      <c r="G11" s="10"/>
      <c r="H11" s="10"/>
      <c r="I11" s="578" t="e">
        <f>Build!N486</f>
        <v>#N/A</v>
      </c>
      <c r="J11" s="578"/>
      <c r="K11" s="578"/>
      <c r="L11" s="578" t="e">
        <f>ChaStep</f>
        <v>#N/A</v>
      </c>
      <c r="M11" s="578"/>
      <c r="N11" s="578" t="e">
        <f ca="1">OFFSET(ActionDice,ChaStep,0)</f>
        <v>#N/A</v>
      </c>
      <c r="O11" s="578"/>
      <c r="P11" s="578"/>
      <c r="Q11" s="580"/>
      <c r="S11" s="14"/>
      <c r="T11" s="12"/>
      <c r="U11" s="12"/>
      <c r="V11" s="12"/>
      <c r="W11" s="12"/>
      <c r="X11" s="12"/>
      <c r="Y11" s="13"/>
      <c r="AA11" s="4" t="s">
        <v>744</v>
      </c>
      <c r="AB11" s="10"/>
      <c r="AC11" s="10"/>
      <c r="AD11" s="10"/>
      <c r="AE11" s="578" t="e">
        <f>AE9-AE10</f>
        <v>#N/A</v>
      </c>
      <c r="AF11" s="596"/>
      <c r="AG11" s="588"/>
      <c r="AH11" s="589"/>
      <c r="AI11" s="589"/>
      <c r="AJ11" s="589"/>
      <c r="AK11" s="589"/>
      <c r="AL11" s="589"/>
      <c r="AM11" s="590"/>
      <c r="AO11" s="14"/>
      <c r="AP11" s="12"/>
      <c r="AQ11" s="12"/>
      <c r="AR11" s="12"/>
      <c r="AS11" s="12"/>
      <c r="AT11" s="12"/>
      <c r="AU11" s="12"/>
      <c r="AV11" s="13"/>
      <c r="AX11" s="4" t="s">
        <v>2647</v>
      </c>
      <c r="AY11" s="10"/>
      <c r="AZ11" s="10"/>
      <c r="BA11" s="187"/>
      <c r="BB11" s="187"/>
      <c r="BC11" s="187"/>
      <c r="BD11" s="187"/>
      <c r="BE11" s="187"/>
      <c r="BF11" s="188"/>
      <c r="BO11" s="197"/>
    </row>
    <row r="12" spans="1:6" ht="12.75" customHeight="1" thickBot="1">
      <c r="A12" s="6"/>
      <c r="B12" s="6"/>
      <c r="C12" s="6"/>
      <c r="D12" s="6"/>
      <c r="E12" s="6"/>
      <c r="F12" s="6"/>
    </row>
    <row r="13" spans="1:58" ht="12.75" customHeight="1">
      <c r="A13" s="448" t="s">
        <v>2418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28"/>
      <c r="Q13" s="118" t="s">
        <v>2419</v>
      </c>
      <c r="R13" s="29"/>
      <c r="S13" s="31" t="s">
        <v>2420</v>
      </c>
      <c r="T13" s="31"/>
      <c r="U13" s="31"/>
      <c r="V13" s="118"/>
      <c r="W13" s="31" t="s">
        <v>2388</v>
      </c>
      <c r="X13" s="31"/>
      <c r="Y13" s="576" t="s">
        <v>2421</v>
      </c>
      <c r="Z13" s="576"/>
      <c r="AA13" s="576"/>
      <c r="AB13" s="576"/>
      <c r="AC13" s="576"/>
      <c r="AD13" s="576"/>
      <c r="AE13" s="576"/>
      <c r="AF13" s="576" t="s">
        <v>1194</v>
      </c>
      <c r="AG13" s="576"/>
      <c r="AH13" s="577"/>
      <c r="AJ13" s="448" t="s">
        <v>2397</v>
      </c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50"/>
      <c r="AW13" s="448" t="s">
        <v>2398</v>
      </c>
      <c r="AX13" s="449"/>
      <c r="AY13" s="449"/>
      <c r="AZ13" s="449"/>
      <c r="BA13" s="449"/>
      <c r="BB13" s="449"/>
      <c r="BC13" s="449"/>
      <c r="BD13" s="449"/>
      <c r="BE13" s="449"/>
      <c r="BF13" s="450"/>
    </row>
    <row r="14" spans="1:58" ht="12.75" customHeight="1">
      <c r="A14" s="23">
        <f ca="1">IF(Build!R499,OFFSET(Build!D$498,Build!R499,0),"")</f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7"/>
      <c r="O14" s="7"/>
      <c r="P14" s="189"/>
      <c r="Q14" s="189">
        <f ca="1">IF(A14="","",IF(OFFSET(Build!K$498,Build!R499,0)&gt;0,OFFSET(Build!K$498,Build!R499,0)&amp;"+","")&amp;TEXT(0,OFFSET(Build!E$498,Build!R499,0)))</f>
      </c>
      <c r="R14" s="148">
        <f>IF(S14=" ","","+")</f>
      </c>
      <c r="S14" s="433" t="str">
        <f ca="1">IF(A14=""," ",OFFSET(Build!J$498,Build!R499,0))</f>
        <v> </v>
      </c>
      <c r="T14" s="433"/>
      <c r="U14" s="433"/>
      <c r="V14" s="148">
        <f>IF(W14=" ","","=")</f>
      </c>
      <c r="W14" s="433" t="str">
        <f ca="1">IF(A14=""," ",OFFSET(Build!L$498,Build!R499,0))</f>
        <v> </v>
      </c>
      <c r="X14" s="433"/>
      <c r="Y14" s="433">
        <f ca="1">IF(A14="","",OFFSET(Build!M$498,Build!R499,0))</f>
      </c>
      <c r="Z14" s="433"/>
      <c r="AA14" s="433"/>
      <c r="AB14" s="433"/>
      <c r="AC14" s="433"/>
      <c r="AD14" s="433"/>
      <c r="AE14" s="433"/>
      <c r="AF14" s="433">
        <f ca="1">IF(A14="","",OFFSET(Build!O$498,Build!R499,0))</f>
      </c>
      <c r="AG14" s="433"/>
      <c r="AH14" s="434"/>
      <c r="AJ14" s="581" t="s">
        <v>2401</v>
      </c>
      <c r="AK14" s="582"/>
      <c r="AL14" s="582"/>
      <c r="AM14" s="583"/>
      <c r="AN14" s="584" t="s">
        <v>2446</v>
      </c>
      <c r="AO14" s="582"/>
      <c r="AP14" s="582"/>
      <c r="AQ14" s="583"/>
      <c r="AR14" s="584" t="s">
        <v>2497</v>
      </c>
      <c r="AS14" s="582"/>
      <c r="AT14" s="582"/>
      <c r="AU14" s="597"/>
      <c r="AW14" s="581" t="s">
        <v>2401</v>
      </c>
      <c r="AX14" s="582"/>
      <c r="AY14" s="582"/>
      <c r="AZ14" s="582"/>
      <c r="BA14" s="583"/>
      <c r="BB14" s="584" t="s">
        <v>2402</v>
      </c>
      <c r="BC14" s="582"/>
      <c r="BD14" s="582"/>
      <c r="BE14" s="582"/>
      <c r="BF14" s="597"/>
    </row>
    <row r="15" spans="1:58" ht="12.75" customHeight="1">
      <c r="A15" s="23">
        <f ca="1">IF(Build!R500,OFFSET(Build!D$498,Build!R500,0),"")</f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7"/>
      <c r="O15" s="7"/>
      <c r="P15" s="189"/>
      <c r="Q15" s="189">
        <f ca="1">IF(A15="","",IF(OFFSET(Build!K$498,Build!R500,0)&gt;0,OFFSET(Build!K$498,Build!R500,0)&amp;"+","")&amp;TEXT(0,OFFSET(Build!E$498,Build!R500,0)))</f>
      </c>
      <c r="R15" s="148">
        <f aca="true" t="shared" si="0" ref="R15:R43">IF(S15=" ","","+")</f>
      </c>
      <c r="S15" s="433" t="str">
        <f ca="1">IF(A15=""," ",OFFSET(Build!J$498,Build!R500,0))</f>
        <v> </v>
      </c>
      <c r="T15" s="433"/>
      <c r="U15" s="433"/>
      <c r="V15" s="148">
        <f aca="true" t="shared" si="1" ref="V15:V43">IF(W15=" ","","=")</f>
      </c>
      <c r="W15" s="433" t="str">
        <f ca="1">IF(A15=""," ",OFFSET(Build!L$498,Build!R500,0))</f>
        <v> </v>
      </c>
      <c r="X15" s="433"/>
      <c r="Y15" s="433">
        <f ca="1">IF(A15="","",OFFSET(Build!M$498,Build!R500,0))</f>
      </c>
      <c r="Z15" s="433"/>
      <c r="AA15" s="433"/>
      <c r="AB15" s="433"/>
      <c r="AC15" s="433"/>
      <c r="AD15" s="433"/>
      <c r="AE15" s="433"/>
      <c r="AF15" s="433">
        <f ca="1">IF(A15="","",OFFSET(Build!O$498,Build!R500,0))</f>
      </c>
      <c r="AG15" s="433"/>
      <c r="AH15" s="434"/>
      <c r="AJ15" s="591" t="e">
        <f>PD</f>
        <v>#N/A</v>
      </c>
      <c r="AK15" s="586"/>
      <c r="AL15" s="586"/>
      <c r="AM15" s="592"/>
      <c r="AN15" s="585" t="e">
        <f>SD</f>
        <v>#N/A</v>
      </c>
      <c r="AO15" s="586"/>
      <c r="AP15" s="586"/>
      <c r="AQ15" s="592"/>
      <c r="AR15" s="585" t="e">
        <f>SOD</f>
        <v>#N/A</v>
      </c>
      <c r="AS15" s="586"/>
      <c r="AT15" s="586"/>
      <c r="AU15" s="587"/>
      <c r="AW15" s="591">
        <f>PhysArm</f>
        <v>0</v>
      </c>
      <c r="AX15" s="586"/>
      <c r="AY15" s="586"/>
      <c r="AZ15" s="586"/>
      <c r="BA15" s="592"/>
      <c r="BB15" s="585">
        <f>MysArm</f>
        <v>0</v>
      </c>
      <c r="BC15" s="586"/>
      <c r="BD15" s="586"/>
      <c r="BE15" s="586"/>
      <c r="BF15" s="587"/>
    </row>
    <row r="16" spans="1:58" ht="12.75" customHeight="1" thickBot="1">
      <c r="A16" s="23">
        <f ca="1">IF(Build!R501,OFFSET(Build!D$498,Build!R501,0),"")</f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7"/>
      <c r="O16" s="7"/>
      <c r="P16" s="189"/>
      <c r="Q16" s="189">
        <f ca="1">IF(A16="","",IF(OFFSET(Build!K$498,Build!R501,0)&gt;0,OFFSET(Build!K$498,Build!R501,0)&amp;"+","")&amp;TEXT(0,OFFSET(Build!E$498,Build!R501,0)))</f>
      </c>
      <c r="R16" s="148">
        <f t="shared" si="0"/>
      </c>
      <c r="S16" s="433" t="str">
        <f ca="1">IF(A16=""," ",OFFSET(Build!J$498,Build!R501,0))</f>
        <v> </v>
      </c>
      <c r="T16" s="433"/>
      <c r="U16" s="433"/>
      <c r="V16" s="148">
        <f t="shared" si="1"/>
      </c>
      <c r="W16" s="433" t="str">
        <f ca="1">IF(A16=""," ",OFFSET(Build!L$498,Build!R501,0))</f>
        <v> </v>
      </c>
      <c r="X16" s="433"/>
      <c r="Y16" s="433">
        <f ca="1">IF(A16="","",OFFSET(Build!M$498,Build!R501,0))</f>
      </c>
      <c r="Z16" s="433"/>
      <c r="AA16" s="433"/>
      <c r="AB16" s="433"/>
      <c r="AC16" s="433"/>
      <c r="AD16" s="433"/>
      <c r="AE16" s="433"/>
      <c r="AF16" s="433">
        <f ca="1">IF(A16="","",OFFSET(Build!O$498,Build!R501,0))</f>
      </c>
      <c r="AG16" s="433"/>
      <c r="AH16" s="434"/>
      <c r="AJ16" s="593"/>
      <c r="AK16" s="589"/>
      <c r="AL16" s="589"/>
      <c r="AM16" s="594"/>
      <c r="AN16" s="588"/>
      <c r="AO16" s="589"/>
      <c r="AP16" s="589"/>
      <c r="AQ16" s="594"/>
      <c r="AR16" s="588"/>
      <c r="AS16" s="589"/>
      <c r="AT16" s="589"/>
      <c r="AU16" s="590"/>
      <c r="AW16" s="593"/>
      <c r="AX16" s="589"/>
      <c r="AY16" s="589"/>
      <c r="AZ16" s="589"/>
      <c r="BA16" s="594"/>
      <c r="BB16" s="588"/>
      <c r="BC16" s="589"/>
      <c r="BD16" s="589"/>
      <c r="BE16" s="589"/>
      <c r="BF16" s="590"/>
    </row>
    <row r="17" spans="1:34" ht="12.75" customHeight="1" thickBot="1">
      <c r="A17" s="23">
        <f ca="1">IF(Build!R502,OFFSET(Build!D$498,Build!R502,0),"")</f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7"/>
      <c r="O17" s="7"/>
      <c r="P17" s="189"/>
      <c r="Q17" s="189">
        <f ca="1">IF(A17="","",IF(OFFSET(Build!K$498,Build!R502,0)&gt;0,OFFSET(Build!K$498,Build!R502,0)&amp;"+","")&amp;TEXT(0,OFFSET(Build!E$498,Build!R502,0)))</f>
      </c>
      <c r="R17" s="148">
        <f t="shared" si="0"/>
      </c>
      <c r="S17" s="433" t="str">
        <f ca="1">IF(A17=""," ",OFFSET(Build!J$498,Build!R502,0))</f>
        <v> </v>
      </c>
      <c r="T17" s="433"/>
      <c r="U17" s="433"/>
      <c r="V17" s="148">
        <f t="shared" si="1"/>
      </c>
      <c r="W17" s="433" t="str">
        <f ca="1">IF(A17=""," ",OFFSET(Build!L$498,Build!R502,0))</f>
        <v> </v>
      </c>
      <c r="X17" s="433"/>
      <c r="Y17" s="433">
        <f ca="1">IF(A17="","",OFFSET(Build!M$498,Build!R502,0))</f>
      </c>
      <c r="Z17" s="433"/>
      <c r="AA17" s="433"/>
      <c r="AB17" s="433"/>
      <c r="AC17" s="433"/>
      <c r="AD17" s="433"/>
      <c r="AE17" s="433"/>
      <c r="AF17" s="433">
        <f ca="1">IF(A17="","",OFFSET(Build!O$498,Build!R502,0))</f>
      </c>
      <c r="AG17" s="433"/>
      <c r="AH17" s="434"/>
    </row>
    <row r="18" spans="1:58" ht="12.75" customHeight="1">
      <c r="A18" s="23">
        <f ca="1">IF(Build!R503,OFFSET(Build!D$498,Build!R503,0),"")</f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7"/>
      <c r="O18" s="7"/>
      <c r="P18" s="189"/>
      <c r="Q18" s="189">
        <f ca="1">IF(A18="","",IF(OFFSET(Build!K$498,Build!R503,0)&gt;0,OFFSET(Build!K$498,Build!R503,0)&amp;"+","")&amp;TEXT(0,OFFSET(Build!E$498,Build!R503,0)))</f>
      </c>
      <c r="R18" s="148">
        <f t="shared" si="0"/>
      </c>
      <c r="S18" s="433" t="str">
        <f ca="1">IF(A18=""," ",OFFSET(Build!J$498,Build!R503,0))</f>
        <v> </v>
      </c>
      <c r="T18" s="433"/>
      <c r="U18" s="433"/>
      <c r="V18" s="148">
        <f t="shared" si="1"/>
      </c>
      <c r="W18" s="433" t="str">
        <f ca="1">IF(A18=""," ",OFFSET(Build!L$498,Build!R503,0))</f>
        <v> </v>
      </c>
      <c r="X18" s="433"/>
      <c r="Y18" s="433">
        <f ca="1">IF(A18="","",OFFSET(Build!M$498,Build!R503,0))</f>
      </c>
      <c r="Z18" s="433"/>
      <c r="AA18" s="433"/>
      <c r="AB18" s="433"/>
      <c r="AC18" s="433"/>
      <c r="AD18" s="433"/>
      <c r="AE18" s="433"/>
      <c r="AF18" s="433">
        <f ca="1">IF(A18="","",OFFSET(Build!O$498,Build!R503,0))</f>
      </c>
      <c r="AG18" s="433"/>
      <c r="AH18" s="434"/>
      <c r="AJ18" s="448" t="s">
        <v>2482</v>
      </c>
      <c r="AK18" s="449"/>
      <c r="AL18" s="449"/>
      <c r="AM18" s="449"/>
      <c r="AN18" s="449"/>
      <c r="AO18" s="449"/>
      <c r="AP18" s="449"/>
      <c r="AQ18" s="449"/>
      <c r="AR18" s="449"/>
      <c r="AS18" s="449"/>
      <c r="AT18" s="449"/>
      <c r="AU18" s="449"/>
      <c r="AV18" s="118"/>
      <c r="AW18" s="31" t="s">
        <v>2498</v>
      </c>
      <c r="AX18" s="31"/>
      <c r="AY18" s="118"/>
      <c r="AZ18" s="31" t="s">
        <v>2455</v>
      </c>
      <c r="BA18" s="31"/>
      <c r="BB18" s="198"/>
      <c r="BC18" s="31" t="s">
        <v>2431</v>
      </c>
      <c r="BD18" s="30"/>
      <c r="BE18" s="30"/>
      <c r="BF18" s="199"/>
    </row>
    <row r="19" spans="1:58" ht="12.75" customHeight="1">
      <c r="A19" s="23">
        <f ca="1">IF(Build!R504,OFFSET(Build!D$498,Build!R504,0),"")</f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7"/>
      <c r="O19" s="7"/>
      <c r="P19" s="189"/>
      <c r="Q19" s="189">
        <f ca="1">IF(A19="","",IF(OFFSET(Build!K$498,Build!R504,0)&gt;0,OFFSET(Build!K$498,Build!R504,0)&amp;"+","")&amp;TEXT(0,OFFSET(Build!E$498,Build!R504,0)))</f>
      </c>
      <c r="R19" s="148">
        <f t="shared" si="0"/>
      </c>
      <c r="S19" s="433" t="str">
        <f ca="1">IF(A19=""," ",OFFSET(Build!J$498,Build!R504,0))</f>
        <v> </v>
      </c>
      <c r="T19" s="433"/>
      <c r="U19" s="433"/>
      <c r="V19" s="148">
        <f t="shared" si="1"/>
      </c>
      <c r="W19" s="433" t="str">
        <f ca="1">IF(A19=""," ",OFFSET(Build!L$498,Build!R504,0))</f>
        <v> </v>
      </c>
      <c r="X19" s="433"/>
      <c r="Y19" s="433">
        <f ca="1">IF(A19="","",OFFSET(Build!M$498,Build!R504,0))</f>
      </c>
      <c r="Z19" s="433"/>
      <c r="AA19" s="433"/>
      <c r="AB19" s="433"/>
      <c r="AC19" s="433"/>
      <c r="AD19" s="433"/>
      <c r="AE19" s="433"/>
      <c r="AF19" s="433">
        <f ca="1">IF(A19="","",OFFSET(Build!O$498,Build!R504,0))</f>
      </c>
      <c r="AG19" s="433"/>
      <c r="AH19" s="434"/>
      <c r="AJ19" s="3" t="s">
        <v>2499</v>
      </c>
      <c r="AK19" s="7"/>
      <c r="AL19" s="7"/>
      <c r="AM19" s="7"/>
      <c r="AN19" s="7"/>
      <c r="AO19" s="7"/>
      <c r="AP19" s="7"/>
      <c r="AQ19" s="7"/>
      <c r="AR19" s="7"/>
      <c r="AS19" s="7"/>
      <c r="AT19" s="433" t="e">
        <f ca="1">OFFSET(AttribDeathRating,Toughness,0)</f>
        <v>#N/A</v>
      </c>
      <c r="AU19" s="433" t="e">
        <f ca="1">OFFSET(attrib,Toughness,6)</f>
        <v>#N/A</v>
      </c>
      <c r="AV19" s="148" t="s">
        <v>2495</v>
      </c>
      <c r="AW19" s="433">
        <f>Build!C485</f>
        <v>0</v>
      </c>
      <c r="AX19" s="433"/>
      <c r="AY19" s="148" t="s">
        <v>2415</v>
      </c>
      <c r="AZ19" s="433">
        <f>Build!BH520</f>
        <v>0</v>
      </c>
      <c r="BA19" s="433"/>
      <c r="BB19" s="148" t="s">
        <v>2496</v>
      </c>
      <c r="BC19" s="433" t="e">
        <f>AT19+AW19-AZ19</f>
        <v>#N/A</v>
      </c>
      <c r="BD19" s="433"/>
      <c r="BE19" s="433"/>
      <c r="BF19" s="434"/>
    </row>
    <row r="20" spans="1:58" ht="12.75" customHeight="1" thickBot="1">
      <c r="A20" s="23">
        <f ca="1">IF(Build!R505,OFFSET(Build!D$498,Build!R505,0),"")</f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7"/>
      <c r="O20" s="7"/>
      <c r="P20" s="189"/>
      <c r="Q20" s="189">
        <f ca="1">IF(A20="","",IF(OFFSET(Build!K$498,Build!R505,0)&gt;0,OFFSET(Build!K$498,Build!R505,0)&amp;"+","")&amp;TEXT(0,OFFSET(Build!E$498,Build!R505,0)))</f>
      </c>
      <c r="R20" s="148">
        <f t="shared" si="0"/>
      </c>
      <c r="S20" s="433" t="str">
        <f ca="1">IF(A20=""," ",OFFSET(Build!J$498,Build!R505,0))</f>
        <v> </v>
      </c>
      <c r="T20" s="433"/>
      <c r="U20" s="433"/>
      <c r="V20" s="148">
        <f t="shared" si="1"/>
      </c>
      <c r="W20" s="433" t="str">
        <f ca="1">IF(A20=""," ",OFFSET(Build!L$498,Build!R505,0))</f>
        <v> </v>
      </c>
      <c r="X20" s="433"/>
      <c r="Y20" s="433">
        <f ca="1">IF(A20="","",OFFSET(Build!M$498,Build!R505,0))</f>
      </c>
      <c r="Z20" s="433"/>
      <c r="AA20" s="433"/>
      <c r="AB20" s="433"/>
      <c r="AC20" s="433"/>
      <c r="AD20" s="433"/>
      <c r="AE20" s="433"/>
      <c r="AF20" s="433">
        <f ca="1">IF(A20="","",OFFSET(Build!O$498,Build!R505,0))</f>
      </c>
      <c r="AG20" s="433"/>
      <c r="AH20" s="434"/>
      <c r="AJ20" s="14" t="s">
        <v>2500</v>
      </c>
      <c r="AK20" s="12"/>
      <c r="AL20" s="12"/>
      <c r="AM20" s="12"/>
      <c r="AN20" s="12"/>
      <c r="AO20" s="12"/>
      <c r="AP20" s="12"/>
      <c r="AQ20" s="12"/>
      <c r="AR20" s="12"/>
      <c r="AS20" s="366"/>
      <c r="AT20" s="578" t="e">
        <f ca="1">OFFSET(AttribUncRating,Toughness,0)</f>
        <v>#N/A</v>
      </c>
      <c r="AU20" s="578" t="e">
        <f ca="1">OFFSET(attrib,Toughness,6)</f>
        <v>#N/A</v>
      </c>
      <c r="AV20" s="33" t="s">
        <v>2495</v>
      </c>
      <c r="AW20" s="578">
        <f>Build!D485</f>
        <v>0</v>
      </c>
      <c r="AX20" s="578"/>
      <c r="AY20" s="33" t="s">
        <v>2415</v>
      </c>
      <c r="AZ20" s="578">
        <f>AZ19</f>
        <v>0</v>
      </c>
      <c r="BA20" s="578"/>
      <c r="BB20" s="33" t="s">
        <v>2496</v>
      </c>
      <c r="BC20" s="578" t="e">
        <f>AT20+AW20-AZ20</f>
        <v>#N/A</v>
      </c>
      <c r="BD20" s="578"/>
      <c r="BE20" s="578"/>
      <c r="BF20" s="580"/>
    </row>
    <row r="21" spans="1:34" ht="12.75" customHeight="1" thickBot="1">
      <c r="A21" s="23">
        <f ca="1">IF(Build!R506,OFFSET(Build!D$498,Build!R506,0),"")</f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7"/>
      <c r="O21" s="7"/>
      <c r="P21" s="189"/>
      <c r="Q21" s="189">
        <f ca="1">IF(A21="","",IF(OFFSET(Build!K$498,Build!R506,0)&gt;0,OFFSET(Build!K$498,Build!R506,0)&amp;"+","")&amp;TEXT(0,OFFSET(Build!E$498,Build!R506,0)))</f>
      </c>
      <c r="R21" s="148">
        <f t="shared" si="0"/>
      </c>
      <c r="S21" s="433" t="str">
        <f ca="1">IF(A21=""," ",OFFSET(Build!J$498,Build!R506,0))</f>
        <v> </v>
      </c>
      <c r="T21" s="433"/>
      <c r="U21" s="433"/>
      <c r="V21" s="148">
        <f t="shared" si="1"/>
      </c>
      <c r="W21" s="433" t="str">
        <f ca="1">IF(A21=""," ",OFFSET(Build!L$498,Build!R506,0))</f>
        <v> </v>
      </c>
      <c r="X21" s="433"/>
      <c r="Y21" s="433">
        <f ca="1">IF(A21="","",OFFSET(Build!M$498,Build!R506,0))</f>
      </c>
      <c r="Z21" s="433"/>
      <c r="AA21" s="433"/>
      <c r="AB21" s="433"/>
      <c r="AC21" s="433"/>
      <c r="AD21" s="433"/>
      <c r="AE21" s="433"/>
      <c r="AF21" s="433">
        <f ca="1">IF(A21="","",OFFSET(Build!O$498,Build!R506,0))</f>
      </c>
      <c r="AG21" s="433"/>
      <c r="AH21" s="434"/>
    </row>
    <row r="22" spans="1:58" ht="12.75" customHeight="1">
      <c r="A22" s="23">
        <f ca="1">IF(Build!R507,OFFSET(Build!D$498,Build!R507,0),"")</f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7"/>
      <c r="O22" s="7"/>
      <c r="P22" s="189"/>
      <c r="Q22" s="189">
        <f ca="1">IF(A22="","",IF(OFFSET(Build!K$498,Build!R507,0)&gt;0,OFFSET(Build!K$498,Build!R507,0)&amp;"+","")&amp;TEXT(0,OFFSET(Build!E$498,Build!R507,0)))</f>
      </c>
      <c r="R22" s="148">
        <f t="shared" si="0"/>
      </c>
      <c r="S22" s="433" t="str">
        <f ca="1">IF(A22=""," ",OFFSET(Build!J$498,Build!R507,0))</f>
        <v> </v>
      </c>
      <c r="T22" s="433"/>
      <c r="U22" s="433"/>
      <c r="V22" s="148">
        <f t="shared" si="1"/>
      </c>
      <c r="W22" s="433" t="str">
        <f ca="1">IF(A22=""," ",OFFSET(Build!L$498,Build!R507,0))</f>
        <v> </v>
      </c>
      <c r="X22" s="433"/>
      <c r="Y22" s="433">
        <f ca="1">IF(A22="","",OFFSET(Build!M$498,Build!R507,0))</f>
      </c>
      <c r="Z22" s="433"/>
      <c r="AA22" s="433"/>
      <c r="AB22" s="433"/>
      <c r="AC22" s="433"/>
      <c r="AD22" s="433"/>
      <c r="AE22" s="433"/>
      <c r="AF22" s="433">
        <f ca="1">IF(A22="","",OFFSET(Build!O$498,Build!R507,0))</f>
      </c>
      <c r="AG22" s="433"/>
      <c r="AH22" s="434"/>
      <c r="AJ22" s="448" t="s">
        <v>2501</v>
      </c>
      <c r="AK22" s="449"/>
      <c r="AL22" s="449"/>
      <c r="AM22" s="449"/>
      <c r="AN22" s="449"/>
      <c r="AO22" s="449"/>
      <c r="AP22" s="449"/>
      <c r="AQ22" s="449"/>
      <c r="AR22" s="449"/>
      <c r="AS22" s="450"/>
      <c r="AT22" s="448" t="s">
        <v>2428</v>
      </c>
      <c r="AU22" s="449"/>
      <c r="AV22" s="449"/>
      <c r="AW22" s="449"/>
      <c r="AX22" s="449"/>
      <c r="AY22" s="449"/>
      <c r="AZ22" s="449"/>
      <c r="BA22" s="449"/>
      <c r="BB22" s="449"/>
      <c r="BC22" s="449"/>
      <c r="BD22" s="449"/>
      <c r="BE22" s="449"/>
      <c r="BF22" s="450"/>
    </row>
    <row r="23" spans="1:58" ht="12.75" customHeight="1">
      <c r="A23" s="23">
        <f ca="1">IF(Build!R508,OFFSET(Build!D$498,Build!R508,0),"")</f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7"/>
      <c r="O23" s="7"/>
      <c r="P23" s="189"/>
      <c r="Q23" s="189">
        <f ca="1">IF(A23="","",IF(OFFSET(Build!K$498,Build!R508,0)&gt;0,OFFSET(Build!K$498,Build!R508,0)&amp;"+","")&amp;TEXT(0,OFFSET(Build!E$498,Build!R508,0)))</f>
      </c>
      <c r="R23" s="148">
        <f t="shared" si="0"/>
      </c>
      <c r="S23" s="433" t="str">
        <f ca="1">IF(A23=""," ",OFFSET(Build!J$498,Build!R508,0))</f>
        <v> </v>
      </c>
      <c r="T23" s="433"/>
      <c r="U23" s="433"/>
      <c r="V23" s="148">
        <f t="shared" si="1"/>
      </c>
      <c r="W23" s="433" t="str">
        <f ca="1">IF(A23=""," ",OFFSET(Build!L$498,Build!R508,0))</f>
        <v> </v>
      </c>
      <c r="X23" s="433"/>
      <c r="Y23" s="433">
        <f ca="1">IF(A23="","",OFFSET(Build!M$498,Build!R508,0))</f>
      </c>
      <c r="Z23" s="433"/>
      <c r="AA23" s="433"/>
      <c r="AB23" s="433"/>
      <c r="AC23" s="433"/>
      <c r="AD23" s="433"/>
      <c r="AE23" s="433"/>
      <c r="AF23" s="433">
        <f ca="1">IF(A23="","",OFFSET(Build!O$498,Build!R508,0))</f>
      </c>
      <c r="AG23" s="433"/>
      <c r="AH23" s="434"/>
      <c r="AJ23" s="3" t="s">
        <v>741</v>
      </c>
      <c r="AK23" s="7"/>
      <c r="AL23" s="7"/>
      <c r="AM23" s="7"/>
      <c r="AN23" s="7"/>
      <c r="AO23" s="7"/>
      <c r="AP23" s="8" t="e">
        <f>WND</f>
        <v>#N/A</v>
      </c>
      <c r="AQ23" s="8"/>
      <c r="AR23" s="8"/>
      <c r="AS23" s="20"/>
      <c r="AT23" s="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11"/>
    </row>
    <row r="24" spans="1:62" ht="12.75" customHeight="1">
      <c r="A24" s="23">
        <f ca="1">IF(Build!R509,OFFSET(Build!D$498,Build!R509,0),"")</f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/>
      <c r="O24" s="7"/>
      <c r="P24" s="189"/>
      <c r="Q24" s="189">
        <f ca="1">IF(A24="","",IF(OFFSET(Build!K$498,Build!R509,0)&gt;0,OFFSET(Build!K$498,Build!R509,0)&amp;"+","")&amp;TEXT(0,OFFSET(Build!E$498,Build!R509,0)))</f>
      </c>
      <c r="R24" s="148">
        <f t="shared" si="0"/>
      </c>
      <c r="S24" s="433" t="str">
        <f ca="1">IF(A24=""," ",OFFSET(Build!J$498,Build!R509,0))</f>
        <v> </v>
      </c>
      <c r="T24" s="433"/>
      <c r="U24" s="433"/>
      <c r="V24" s="148">
        <f t="shared" si="1"/>
      </c>
      <c r="W24" s="433" t="str">
        <f ca="1">IF(A24=""," ",OFFSET(Build!L$498,Build!R509,0))</f>
        <v> </v>
      </c>
      <c r="X24" s="433"/>
      <c r="Y24" s="433">
        <f ca="1">IF(A24="","",OFFSET(Build!M$498,Build!R509,0))</f>
      </c>
      <c r="Z24" s="433"/>
      <c r="AA24" s="433"/>
      <c r="AB24" s="433"/>
      <c r="AC24" s="433"/>
      <c r="AD24" s="433"/>
      <c r="AE24" s="433"/>
      <c r="AF24" s="433">
        <f ca="1">IF(A24="","",OFFSET(Build!O$498,Build!R509,0))</f>
      </c>
      <c r="AG24" s="433"/>
      <c r="AH24" s="434"/>
      <c r="AJ24" s="3" t="s">
        <v>773</v>
      </c>
      <c r="AK24" s="7"/>
      <c r="AL24" s="7"/>
      <c r="AM24" s="7"/>
      <c r="AN24" s="7"/>
      <c r="AO24" s="7"/>
      <c r="AP24" s="8" t="e">
        <f>strdie</f>
        <v>#N/A</v>
      </c>
      <c r="AQ24" s="8"/>
      <c r="AR24" s="8"/>
      <c r="AS24" s="20"/>
      <c r="AT24" s="5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11"/>
      <c r="BJ24" s="200"/>
    </row>
    <row r="25" spans="1:58" ht="12.75" customHeight="1">
      <c r="A25" s="23">
        <f ca="1">IF(Build!R510,OFFSET(Build!D$498,Build!R510,0),"")</f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/>
      <c r="O25" s="7"/>
      <c r="P25" s="189"/>
      <c r="Q25" s="189">
        <f ca="1">IF(A25="","",IF(OFFSET(Build!K$498,Build!R510,0)&gt;0,OFFSET(Build!K$498,Build!R510,0)&amp;"+","")&amp;TEXT(0,OFFSET(Build!E$498,Build!R510,0)))</f>
      </c>
      <c r="R25" s="148">
        <f t="shared" si="0"/>
      </c>
      <c r="S25" s="433" t="str">
        <f ca="1">IF(A25=""," ",OFFSET(Build!J$498,Build!R510,0))</f>
        <v> </v>
      </c>
      <c r="T25" s="433"/>
      <c r="U25" s="433"/>
      <c r="V25" s="148">
        <f t="shared" si="1"/>
      </c>
      <c r="W25" s="433" t="str">
        <f ca="1">IF(A25=""," ",OFFSET(Build!L$498,Build!R510,0))</f>
        <v> </v>
      </c>
      <c r="X25" s="433"/>
      <c r="Y25" s="433">
        <f ca="1">IF(A25="","",OFFSET(Build!M$498,Build!R510,0))</f>
      </c>
      <c r="Z25" s="433"/>
      <c r="AA25" s="433"/>
      <c r="AB25" s="433"/>
      <c r="AC25" s="433"/>
      <c r="AD25" s="433"/>
      <c r="AE25" s="433"/>
      <c r="AF25" s="433">
        <f ca="1">IF(A25="","",OFFSET(Build!O$498,Build!R510,0))</f>
      </c>
      <c r="AG25" s="433"/>
      <c r="AH25" s="434"/>
      <c r="AJ25" s="5"/>
      <c r="AK25" s="6"/>
      <c r="AL25" s="6"/>
      <c r="AM25" s="6"/>
      <c r="AN25" s="6"/>
      <c r="AO25" s="6"/>
      <c r="AP25" s="6"/>
      <c r="AQ25" s="6"/>
      <c r="AR25" s="6"/>
      <c r="AS25" s="11"/>
      <c r="AT25" s="5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11"/>
    </row>
    <row r="26" spans="1:58" ht="12.75" customHeight="1">
      <c r="A26" s="23">
        <f ca="1">IF(Build!R511,OFFSET(Build!D$498,Build!R511,0),"")</f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7"/>
      <c r="O26" s="7"/>
      <c r="P26" s="189"/>
      <c r="Q26" s="189">
        <f ca="1">IF(A26="","",IF(OFFSET(Build!K$498,Build!R511,0)&gt;0,OFFSET(Build!K$498,Build!R511,0)&amp;"+","")&amp;TEXT(0,OFFSET(Build!E$498,Build!R511,0)))</f>
      </c>
      <c r="R26" s="148">
        <f t="shared" si="0"/>
      </c>
      <c r="S26" s="433" t="str">
        <f ca="1">IF(A26=""," ",OFFSET(Build!J$498,Build!R511,0))</f>
        <v> </v>
      </c>
      <c r="T26" s="433"/>
      <c r="U26" s="433"/>
      <c r="V26" s="148">
        <f t="shared" si="1"/>
      </c>
      <c r="W26" s="433" t="str">
        <f ca="1">IF(A26=""," ",OFFSET(Build!L$498,Build!R511,0))</f>
        <v> </v>
      </c>
      <c r="X26" s="433"/>
      <c r="Y26" s="433">
        <f ca="1">IF(A26="","",OFFSET(Build!M$498,Build!R511,0))</f>
      </c>
      <c r="Z26" s="433"/>
      <c r="AA26" s="433"/>
      <c r="AB26" s="433"/>
      <c r="AC26" s="433"/>
      <c r="AD26" s="433"/>
      <c r="AE26" s="433"/>
      <c r="AF26" s="433">
        <f ca="1">IF(A26="","",OFFSET(Build!O$498,Build!R511,0))</f>
      </c>
      <c r="AG26" s="433"/>
      <c r="AH26" s="434"/>
      <c r="AJ26" s="5"/>
      <c r="AK26" s="6"/>
      <c r="AL26" s="6"/>
      <c r="AM26" s="6"/>
      <c r="AN26" s="6"/>
      <c r="AO26" s="6"/>
      <c r="AP26" s="6"/>
      <c r="AQ26" s="6"/>
      <c r="AR26" s="6"/>
      <c r="AS26" s="11"/>
      <c r="AT26" s="5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11"/>
    </row>
    <row r="27" spans="1:58" ht="12.75" customHeight="1" thickBot="1">
      <c r="A27" s="23">
        <f ca="1">IF(Build!R512,OFFSET(Build!D$498,Build!R512,0),"")</f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7"/>
      <c r="O27" s="7"/>
      <c r="P27" s="189"/>
      <c r="Q27" s="189">
        <f ca="1">IF(A27="","",IF(OFFSET(Build!K$498,Build!R512,0)&gt;0,OFFSET(Build!K$498,Build!R512,0)&amp;"+","")&amp;TEXT(0,OFFSET(Build!E$498,Build!R512,0)))</f>
      </c>
      <c r="R27" s="148">
        <f t="shared" si="0"/>
      </c>
      <c r="S27" s="433" t="str">
        <f ca="1">IF(A27=""," ",OFFSET(Build!J$498,Build!R512,0))</f>
        <v> </v>
      </c>
      <c r="T27" s="433"/>
      <c r="U27" s="433"/>
      <c r="V27" s="148">
        <f t="shared" si="1"/>
      </c>
      <c r="W27" s="433" t="str">
        <f ca="1">IF(A27=""," ",OFFSET(Build!L$498,Build!R512,0))</f>
        <v> </v>
      </c>
      <c r="X27" s="433"/>
      <c r="Y27" s="433">
        <f ca="1">IF(A27="","",OFFSET(Build!M$498,Build!R512,0))</f>
      </c>
      <c r="Z27" s="433"/>
      <c r="AA27" s="433"/>
      <c r="AB27" s="433"/>
      <c r="AC27" s="433"/>
      <c r="AD27" s="433"/>
      <c r="AE27" s="433"/>
      <c r="AF27" s="433">
        <f ca="1">IF(A27="","",OFFSET(Build!O$498,Build!R512,0))</f>
      </c>
      <c r="AG27" s="433"/>
      <c r="AH27" s="434"/>
      <c r="AJ27" s="579" t="e">
        <f>"Recovery Tests: "&amp;REC</f>
        <v>#N/A</v>
      </c>
      <c r="AK27" s="578"/>
      <c r="AL27" s="578"/>
      <c r="AM27" s="578"/>
      <c r="AN27" s="578"/>
      <c r="AO27" s="578"/>
      <c r="AP27" s="578"/>
      <c r="AQ27" s="578"/>
      <c r="AR27" s="578"/>
      <c r="AS27" s="580"/>
      <c r="AT27" s="579" t="e">
        <f ca="1">"Recovery Dice: "&amp;OFFSET(ActionDice,RecStep,0)</f>
        <v>#N/A</v>
      </c>
      <c r="AU27" s="578"/>
      <c r="AV27" s="578"/>
      <c r="AW27" s="578"/>
      <c r="AX27" s="578"/>
      <c r="AY27" s="578"/>
      <c r="AZ27" s="578"/>
      <c r="BA27" s="578"/>
      <c r="BB27" s="578"/>
      <c r="BC27" s="578"/>
      <c r="BD27" s="578"/>
      <c r="BE27" s="578"/>
      <c r="BF27" s="580"/>
    </row>
    <row r="28" spans="1:60" ht="12.75" customHeight="1" thickBot="1">
      <c r="A28" s="23">
        <f ca="1">IF(Build!R513,OFFSET(Build!D$498,Build!R513,0),"")</f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7"/>
      <c r="O28" s="7"/>
      <c r="P28" s="189"/>
      <c r="Q28" s="189">
        <f ca="1">IF(A28="","",IF(OFFSET(Build!K$498,Build!R513,0)&gt;0,OFFSET(Build!K$498,Build!R513,0)&amp;"+","")&amp;TEXT(0,OFFSET(Build!E$498,Build!R513,0)))</f>
      </c>
      <c r="R28" s="148">
        <f t="shared" si="0"/>
      </c>
      <c r="S28" s="433" t="str">
        <f ca="1">IF(A28=""," ",OFFSET(Build!J$498,Build!R513,0))</f>
        <v> </v>
      </c>
      <c r="T28" s="433"/>
      <c r="U28" s="433"/>
      <c r="V28" s="148">
        <f t="shared" si="1"/>
      </c>
      <c r="W28" s="433" t="str">
        <f ca="1">IF(A28=""," ",OFFSET(Build!L$498,Build!R513,0))</f>
        <v> </v>
      </c>
      <c r="X28" s="433"/>
      <c r="Y28" s="433">
        <f ca="1">IF(A28="","",OFFSET(Build!M$498,Build!R513,0))</f>
      </c>
      <c r="Z28" s="433"/>
      <c r="AA28" s="433"/>
      <c r="AB28" s="433"/>
      <c r="AC28" s="433"/>
      <c r="AD28" s="433"/>
      <c r="AE28" s="433"/>
      <c r="AF28" s="433">
        <f ca="1">IF(A28="","",OFFSET(Build!O$498,Build!R513,0))</f>
      </c>
      <c r="AG28" s="433"/>
      <c r="AH28" s="434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12.75" customHeight="1">
      <c r="A29" s="23">
        <f ca="1">IF(Build!R514,OFFSET(Build!D$498,Build!R514,0),"")</f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7"/>
      <c r="O29" s="7"/>
      <c r="P29" s="189"/>
      <c r="Q29" s="189">
        <f ca="1">IF(A29="","",IF(OFFSET(Build!K$498,Build!R514,0)&gt;0,OFFSET(Build!K$498,Build!R514,0)&amp;"+","")&amp;TEXT(0,OFFSET(Build!E$498,Build!R514,0)))</f>
      </c>
      <c r="R29" s="148">
        <f t="shared" si="0"/>
      </c>
      <c r="S29" s="433" t="str">
        <f ca="1">IF(A29=""," ",OFFSET(Build!J$498,Build!R514,0))</f>
        <v> </v>
      </c>
      <c r="T29" s="433"/>
      <c r="U29" s="433"/>
      <c r="V29" s="148">
        <f t="shared" si="1"/>
      </c>
      <c r="W29" s="433" t="str">
        <f ca="1">IF(A29=""," ",OFFSET(Build!L$498,Build!R514,0))</f>
        <v> </v>
      </c>
      <c r="X29" s="433"/>
      <c r="Y29" s="433">
        <f ca="1">IF(A29="","",OFFSET(Build!M$498,Build!R514,0))</f>
      </c>
      <c r="Z29" s="433"/>
      <c r="AA29" s="433"/>
      <c r="AB29" s="433"/>
      <c r="AC29" s="433"/>
      <c r="AD29" s="433"/>
      <c r="AE29" s="433"/>
      <c r="AF29" s="433">
        <f ca="1">IF(A29="","",OFFSET(Build!O$498,Build!R514,0))</f>
      </c>
      <c r="AG29" s="433"/>
      <c r="AH29" s="434"/>
      <c r="AJ29" s="448" t="s">
        <v>742</v>
      </c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449"/>
      <c r="BD29" s="449"/>
      <c r="BE29" s="449"/>
      <c r="BF29" s="450"/>
      <c r="BG29" s="213"/>
      <c r="BH29" s="213"/>
    </row>
    <row r="30" spans="1:60" ht="12.75" customHeight="1">
      <c r="A30" s="23">
        <f ca="1">IF(Build!R515,OFFSET(Build!D$498,Build!R515,0),"")</f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7"/>
      <c r="O30" s="7"/>
      <c r="P30" s="189"/>
      <c r="Q30" s="189">
        <f ca="1">IF(A30="","",IF(OFFSET(Build!K$498,Build!R515,0)&gt;0,OFFSET(Build!K$498,Build!R515,0)&amp;"+","")&amp;TEXT(0,OFFSET(Build!E$498,Build!R515,0)))</f>
      </c>
      <c r="R30" s="148">
        <f t="shared" si="0"/>
      </c>
      <c r="S30" s="433" t="str">
        <f ca="1">IF(A30=""," ",OFFSET(Build!J$498,Build!R515,0))</f>
        <v> </v>
      </c>
      <c r="T30" s="433"/>
      <c r="U30" s="433"/>
      <c r="V30" s="148">
        <f t="shared" si="1"/>
      </c>
      <c r="W30" s="433" t="str">
        <f ca="1">IF(A30=""," ",OFFSET(Build!L$498,Build!R515,0))</f>
        <v> </v>
      </c>
      <c r="X30" s="433"/>
      <c r="Y30" s="433">
        <f ca="1">IF(A30="","",OFFSET(Build!M$498,Build!R515,0))</f>
      </c>
      <c r="Z30" s="433"/>
      <c r="AA30" s="433"/>
      <c r="AB30" s="433"/>
      <c r="AC30" s="433"/>
      <c r="AD30" s="433"/>
      <c r="AE30" s="433"/>
      <c r="AF30" s="433">
        <f ca="1">IF(A30="","",OFFSET(Build!O$498,Build!R515,0))</f>
      </c>
      <c r="AG30" s="433"/>
      <c r="AH30" s="434"/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11"/>
      <c r="BG30" s="213"/>
      <c r="BH30" s="213"/>
    </row>
    <row r="31" spans="1:58" ht="12.75" customHeight="1">
      <c r="A31" s="23">
        <f ca="1">IF(Build!R516,OFFSET(Build!D$498,Build!R516,0),"")</f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7"/>
      <c r="O31" s="7"/>
      <c r="P31" s="189"/>
      <c r="Q31" s="189">
        <f ca="1">IF(A31="","",IF(OFFSET(Build!K$498,Build!R516,0)&gt;0,OFFSET(Build!K$498,Build!R516,0)&amp;"+","")&amp;TEXT(0,OFFSET(Build!E$498,Build!R516,0)))</f>
      </c>
      <c r="R31" s="148">
        <f t="shared" si="0"/>
      </c>
      <c r="S31" s="433" t="str">
        <f ca="1">IF(A31=""," ",OFFSET(Build!J$498,Build!R516,0))</f>
        <v> </v>
      </c>
      <c r="T31" s="433"/>
      <c r="U31" s="433"/>
      <c r="V31" s="148">
        <f t="shared" si="1"/>
      </c>
      <c r="W31" s="433" t="str">
        <f ca="1">IF(A31=""," ",OFFSET(Build!L$498,Build!R516,0))</f>
        <v> </v>
      </c>
      <c r="X31" s="433"/>
      <c r="Y31" s="433">
        <f ca="1">IF(A31="","",OFFSET(Build!M$498,Build!R516,0))</f>
      </c>
      <c r="Z31" s="433"/>
      <c r="AA31" s="433"/>
      <c r="AB31" s="433"/>
      <c r="AC31" s="433"/>
      <c r="AD31" s="433"/>
      <c r="AE31" s="433"/>
      <c r="AF31" s="433">
        <f ca="1">IF(A31="","",OFFSET(Build!O$498,Build!R516,0))</f>
      </c>
      <c r="AG31" s="433"/>
      <c r="AH31" s="434"/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11"/>
    </row>
    <row r="32" spans="1:58" ht="12.75" customHeight="1">
      <c r="A32" s="23">
        <f ca="1">IF(Build!R517,OFFSET(Build!D$498,Build!R517,0),"")</f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7"/>
      <c r="O32" s="7"/>
      <c r="P32" s="189"/>
      <c r="Q32" s="189">
        <f ca="1">IF(A32="","",IF(OFFSET(Build!K$498,Build!R517,0)&gt;0,OFFSET(Build!K$498,Build!R517,0)&amp;"+","")&amp;TEXT(0,OFFSET(Build!E$498,Build!R517,0)))</f>
      </c>
      <c r="R32" s="148">
        <f t="shared" si="0"/>
      </c>
      <c r="S32" s="433" t="str">
        <f ca="1">IF(A32=""," ",OFFSET(Build!J$498,Build!R517,0))</f>
        <v> </v>
      </c>
      <c r="T32" s="433"/>
      <c r="U32" s="433"/>
      <c r="V32" s="148">
        <f t="shared" si="1"/>
      </c>
      <c r="W32" s="433" t="str">
        <f ca="1">IF(A32=""," ",OFFSET(Build!L$498,Build!R517,0))</f>
        <v> </v>
      </c>
      <c r="X32" s="433"/>
      <c r="Y32" s="433">
        <f ca="1">IF(A32="","",OFFSET(Build!M$498,Build!R517,0))</f>
      </c>
      <c r="Z32" s="433"/>
      <c r="AA32" s="433"/>
      <c r="AB32" s="433"/>
      <c r="AC32" s="433"/>
      <c r="AD32" s="433"/>
      <c r="AE32" s="433"/>
      <c r="AF32" s="433">
        <f ca="1">IF(A32="","",OFFSET(Build!O$498,Build!R517,0))</f>
      </c>
      <c r="AG32" s="433"/>
      <c r="AH32" s="434"/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11"/>
    </row>
    <row r="33" spans="1:58" ht="12.75" customHeight="1">
      <c r="A33" s="23">
        <f ca="1">IF(Build!R518,OFFSET(Build!D$498,Build!R518,0),"")</f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7"/>
      <c r="O33" s="7"/>
      <c r="P33" s="189"/>
      <c r="Q33" s="189">
        <f ca="1">IF(A33="","",IF(OFFSET(Build!K$498,Build!R518,0)&gt;0,OFFSET(Build!K$498,Build!R518,0)&amp;"+","")&amp;TEXT(0,OFFSET(Build!E$498,Build!R518,0)))</f>
      </c>
      <c r="R33" s="148">
        <f t="shared" si="0"/>
      </c>
      <c r="S33" s="433" t="str">
        <f ca="1">IF(A33=""," ",OFFSET(Build!J$498,Build!R518,0))</f>
        <v> </v>
      </c>
      <c r="T33" s="433"/>
      <c r="U33" s="433"/>
      <c r="V33" s="148">
        <f t="shared" si="1"/>
      </c>
      <c r="W33" s="433" t="str">
        <f ca="1">IF(A33=""," ",OFFSET(Build!L$498,Build!R518,0))</f>
        <v> </v>
      </c>
      <c r="X33" s="433"/>
      <c r="Y33" s="433">
        <f ca="1">IF(A33="","",OFFSET(Build!M$498,Build!R518,0))</f>
      </c>
      <c r="Z33" s="433"/>
      <c r="AA33" s="433"/>
      <c r="AB33" s="433"/>
      <c r="AC33" s="433"/>
      <c r="AD33" s="433"/>
      <c r="AE33" s="433"/>
      <c r="AF33" s="433">
        <f ca="1">IF(A33="","",OFFSET(Build!O$498,Build!R518,0))</f>
      </c>
      <c r="AG33" s="433"/>
      <c r="AH33" s="434"/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11"/>
    </row>
    <row r="34" spans="1:72" ht="12.75" customHeight="1">
      <c r="A34" s="23">
        <f ca="1">IF(Build!R519,OFFSET(Build!D$498,Build!R519,0),"")</f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7"/>
      <c r="O34" s="7"/>
      <c r="P34" s="189"/>
      <c r="Q34" s="189">
        <f ca="1">IF(A34="","",IF(OFFSET(Build!K$498,Build!R519,0)&gt;0,OFFSET(Build!K$498,Build!R519,0)&amp;"+","")&amp;TEXT(0,OFFSET(Build!E$498,Build!R519,0)))</f>
      </c>
      <c r="R34" s="148">
        <f t="shared" si="0"/>
      </c>
      <c r="S34" s="433" t="str">
        <f ca="1">IF(A34=""," ",OFFSET(Build!J$498,Build!R519,0))</f>
        <v> </v>
      </c>
      <c r="T34" s="433"/>
      <c r="U34" s="433"/>
      <c r="V34" s="148">
        <f t="shared" si="1"/>
      </c>
      <c r="W34" s="433" t="str">
        <f ca="1">IF(A34=""," ",OFFSET(Build!L$498,Build!R519,0))</f>
        <v> </v>
      </c>
      <c r="X34" s="433"/>
      <c r="Y34" s="433">
        <f ca="1">IF(A34="","",OFFSET(Build!M$498,Build!R519,0))</f>
      </c>
      <c r="Z34" s="433"/>
      <c r="AA34" s="433"/>
      <c r="AB34" s="433"/>
      <c r="AC34" s="433"/>
      <c r="AD34" s="433"/>
      <c r="AE34" s="433"/>
      <c r="AF34" s="433">
        <f ca="1">IF(A34="","",OFFSET(Build!O$498,Build!R519,0))</f>
      </c>
      <c r="AG34" s="433"/>
      <c r="AH34" s="434"/>
      <c r="AJ34" s="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11"/>
      <c r="BJ34"/>
      <c r="BK34"/>
      <c r="BP34"/>
      <c r="BQ34"/>
      <c r="BR34"/>
      <c r="BS34"/>
      <c r="BT34"/>
    </row>
    <row r="35" spans="1:72" ht="12.75" customHeight="1">
      <c r="A35" s="23">
        <f ca="1">IF(Build!R520,OFFSET(Build!D$498,Build!R520,0),"")</f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7"/>
      <c r="O35" s="7"/>
      <c r="P35" s="189"/>
      <c r="Q35" s="189">
        <f ca="1">IF(A35="","",IF(OFFSET(Build!K$498,Build!R520,0)&gt;0,OFFSET(Build!K$498,Build!R520,0)&amp;"+","")&amp;TEXT(0,OFFSET(Build!E$498,Build!R520,0)))</f>
      </c>
      <c r="R35" s="148">
        <f t="shared" si="0"/>
      </c>
      <c r="S35" s="433" t="str">
        <f ca="1">IF(A35=""," ",OFFSET(Build!J$498,Build!R520,0))</f>
        <v> </v>
      </c>
      <c r="T35" s="433"/>
      <c r="U35" s="433"/>
      <c r="V35" s="148">
        <f t="shared" si="1"/>
      </c>
      <c r="W35" s="433" t="str">
        <f ca="1">IF(A35=""," ",OFFSET(Build!L$498,Build!R520,0))</f>
        <v> </v>
      </c>
      <c r="X35" s="433"/>
      <c r="Y35" s="433">
        <f ca="1">IF(A35="","",OFFSET(Build!M$498,Build!R520,0))</f>
      </c>
      <c r="Z35" s="433"/>
      <c r="AA35" s="433"/>
      <c r="AB35" s="433"/>
      <c r="AC35" s="433"/>
      <c r="AD35" s="433"/>
      <c r="AE35" s="433"/>
      <c r="AF35" s="433">
        <f ca="1">IF(A35="","",OFFSET(Build!O$498,Build!R520,0))</f>
      </c>
      <c r="AG35" s="433"/>
      <c r="AH35" s="434"/>
      <c r="AJ35" s="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11"/>
      <c r="BJ35"/>
      <c r="BK35"/>
      <c r="BP35"/>
      <c r="BQ35"/>
      <c r="BR35"/>
      <c r="BS35"/>
      <c r="BT35"/>
    </row>
    <row r="36" spans="1:72" ht="12.75" customHeight="1">
      <c r="A36" s="23">
        <f ca="1">IF(Build!R521,OFFSET(Build!D$498,Build!R521,0),"")</f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7"/>
      <c r="O36" s="7"/>
      <c r="P36" s="189"/>
      <c r="Q36" s="189">
        <f ca="1">IF(A36="","",IF(OFFSET(Build!K$498,Build!R521,0)&gt;0,OFFSET(Build!K$498,Build!R521,0)&amp;"+","")&amp;TEXT(0,OFFSET(Build!E$498,Build!R521,0)))</f>
      </c>
      <c r="R36" s="148">
        <f t="shared" si="0"/>
      </c>
      <c r="S36" s="433" t="str">
        <f ca="1">IF(A36=""," ",OFFSET(Build!J$498,Build!R521,0))</f>
        <v> </v>
      </c>
      <c r="T36" s="433"/>
      <c r="U36" s="433"/>
      <c r="V36" s="148">
        <f t="shared" si="1"/>
      </c>
      <c r="W36" s="433" t="str">
        <f ca="1">IF(A36=""," ",OFFSET(Build!L$498,Build!R521,0))</f>
        <v> </v>
      </c>
      <c r="X36" s="433"/>
      <c r="Y36" s="433">
        <f ca="1">IF(A36="","",OFFSET(Build!M$498,Build!R521,0))</f>
      </c>
      <c r="Z36" s="433"/>
      <c r="AA36" s="433"/>
      <c r="AB36" s="433"/>
      <c r="AC36" s="433"/>
      <c r="AD36" s="433"/>
      <c r="AE36" s="433"/>
      <c r="AF36" s="433">
        <f ca="1">IF(A36="","",OFFSET(Build!O$498,Build!R521,0))</f>
      </c>
      <c r="AG36" s="433"/>
      <c r="AH36" s="434"/>
      <c r="AJ36" s="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11"/>
      <c r="BJ36"/>
      <c r="BK36"/>
      <c r="BL36"/>
      <c r="BM36"/>
      <c r="BN36"/>
      <c r="BO36"/>
      <c r="BP36"/>
      <c r="BQ36"/>
      <c r="BR36"/>
      <c r="BS36"/>
      <c r="BT36"/>
    </row>
    <row r="37" spans="1:72" ht="12.75" customHeight="1">
      <c r="A37" s="23">
        <f ca="1">IF(Build!R522,OFFSET(Build!D$498,Build!R522,0),"")</f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7"/>
      <c r="O37" s="7"/>
      <c r="P37" s="189"/>
      <c r="Q37" s="189">
        <f ca="1">IF(A37="","",IF(OFFSET(Build!K$498,Build!R522,0)&gt;0,OFFSET(Build!K$498,Build!R522,0)&amp;"+","")&amp;TEXT(0,OFFSET(Build!E$498,Build!R522,0)))</f>
      </c>
      <c r="R37" s="148">
        <f t="shared" si="0"/>
      </c>
      <c r="S37" s="433" t="str">
        <f ca="1">IF(A37=""," ",OFFSET(Build!J$498,Build!R522,0))</f>
        <v> </v>
      </c>
      <c r="T37" s="433"/>
      <c r="U37" s="433"/>
      <c r="V37" s="148">
        <f t="shared" si="1"/>
      </c>
      <c r="W37" s="433" t="str">
        <f ca="1">IF(A37=""," ",OFFSET(Build!L$498,Build!R522,0))</f>
        <v> </v>
      </c>
      <c r="X37" s="433"/>
      <c r="Y37" s="433">
        <f ca="1">IF(A37="","",OFFSET(Build!M$498,Build!R522,0))</f>
      </c>
      <c r="Z37" s="433"/>
      <c r="AA37" s="433"/>
      <c r="AB37" s="433"/>
      <c r="AC37" s="433"/>
      <c r="AD37" s="433"/>
      <c r="AE37" s="433"/>
      <c r="AF37" s="433">
        <f ca="1">IF(A37="","",OFFSET(Build!O$498,Build!R522,0))</f>
      </c>
      <c r="AG37" s="433"/>
      <c r="AH37" s="434"/>
      <c r="AJ37" s="5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11"/>
      <c r="BJ37"/>
      <c r="BK37"/>
      <c r="BL37"/>
      <c r="BM37"/>
      <c r="BN37"/>
      <c r="BO37"/>
      <c r="BP37"/>
      <c r="BQ37"/>
      <c r="BR37"/>
      <c r="BS37"/>
      <c r="BT37"/>
    </row>
    <row r="38" spans="1:64" ht="12.75" customHeight="1">
      <c r="A38" s="23">
        <f ca="1">IF(Build!R523,OFFSET(Build!D$498,Build!R523,0),"")</f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7"/>
      <c r="O38" s="7"/>
      <c r="P38" s="189"/>
      <c r="Q38" s="189">
        <f ca="1">IF(A38="","",IF(OFFSET(Build!K$498,Build!R523,0)&gt;0,OFFSET(Build!K$498,Build!R523,0)&amp;"+","")&amp;TEXT(0,OFFSET(Build!E$498,Build!R523,0)))</f>
      </c>
      <c r="R38" s="148">
        <f t="shared" si="0"/>
      </c>
      <c r="S38" s="433" t="str">
        <f ca="1">IF(A38=""," ",OFFSET(Build!J$498,Build!R523,0))</f>
        <v> </v>
      </c>
      <c r="T38" s="433"/>
      <c r="U38" s="433"/>
      <c r="V38" s="148">
        <f t="shared" si="1"/>
      </c>
      <c r="W38" s="433" t="str">
        <f ca="1">IF(A38=""," ",OFFSET(Build!L$498,Build!R523,0))</f>
        <v> </v>
      </c>
      <c r="X38" s="433"/>
      <c r="Y38" s="433">
        <f ca="1">IF(A38="","",OFFSET(Build!M$498,Build!R523,0))</f>
      </c>
      <c r="Z38" s="433"/>
      <c r="AA38" s="433"/>
      <c r="AB38" s="433"/>
      <c r="AC38" s="433"/>
      <c r="AD38" s="433"/>
      <c r="AE38" s="433"/>
      <c r="AF38" s="433">
        <f ca="1">IF(A38="","",OFFSET(Build!O$498,Build!R523,0))</f>
      </c>
      <c r="AG38" s="433"/>
      <c r="AH38" s="434"/>
      <c r="AJ38" s="5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11"/>
      <c r="BJ38"/>
      <c r="BK38"/>
      <c r="BL38"/>
    </row>
    <row r="39" spans="1:62" ht="12.75" customHeight="1">
      <c r="A39" s="23">
        <f ca="1">IF(Build!R524,OFFSET(Build!D$498,Build!R524,0),"")</f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7"/>
      <c r="O39" s="7"/>
      <c r="P39" s="189"/>
      <c r="Q39" s="189">
        <f ca="1">IF(A39="","",IF(OFFSET(Build!K$498,Build!R524,0)&gt;0,OFFSET(Build!K$498,Build!R524,0)&amp;"+","")&amp;TEXT(0,OFFSET(Build!E$498,Build!R524,0)))</f>
      </c>
      <c r="R39" s="148">
        <f t="shared" si="0"/>
      </c>
      <c r="S39" s="433" t="str">
        <f ca="1">IF(A39=""," ",OFFSET(Build!J$498,Build!R524,0))</f>
        <v> </v>
      </c>
      <c r="T39" s="433"/>
      <c r="U39" s="433"/>
      <c r="V39" s="148">
        <f t="shared" si="1"/>
      </c>
      <c r="W39" s="433" t="str">
        <f ca="1">IF(A39=""," ",OFFSET(Build!L$498,Build!R524,0))</f>
        <v> </v>
      </c>
      <c r="X39" s="433"/>
      <c r="Y39" s="433">
        <f ca="1">IF(A39="","",OFFSET(Build!M$498,Build!R524,0))</f>
      </c>
      <c r="Z39" s="433"/>
      <c r="AA39" s="433"/>
      <c r="AB39" s="433"/>
      <c r="AC39" s="433"/>
      <c r="AD39" s="433"/>
      <c r="AE39" s="433"/>
      <c r="AF39" s="433">
        <f ca="1">IF(A39="","",OFFSET(Build!O$498,Build!R524,0))</f>
      </c>
      <c r="AG39" s="433"/>
      <c r="AH39" s="434"/>
      <c r="AJ39" s="5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11"/>
      <c r="BJ39"/>
    </row>
    <row r="40" spans="1:62" ht="12.75" customHeight="1" thickBot="1">
      <c r="A40" s="23">
        <f ca="1">IF(Build!R525,OFFSET(Build!D$498,Build!R525,0),"")</f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7"/>
      <c r="O40" s="7"/>
      <c r="P40" s="189"/>
      <c r="Q40" s="189">
        <f ca="1">IF(A40="","",IF(OFFSET(Build!K$498,Build!R525,0)&gt;0,OFFSET(Build!K$498,Build!R525,0)&amp;"+","")&amp;TEXT(0,OFFSET(Build!E$498,Build!R525,0)))</f>
      </c>
      <c r="R40" s="148">
        <f t="shared" si="0"/>
      </c>
      <c r="S40" s="433" t="str">
        <f ca="1">IF(A40=""," ",OFFSET(Build!J$498,Build!R525,0))</f>
        <v> </v>
      </c>
      <c r="T40" s="433"/>
      <c r="U40" s="433"/>
      <c r="V40" s="148">
        <f t="shared" si="1"/>
      </c>
      <c r="W40" s="433" t="str">
        <f ca="1">IF(A40=""," ",OFFSET(Build!L$498,Build!R525,0))</f>
        <v> </v>
      </c>
      <c r="X40" s="433"/>
      <c r="Y40" s="433">
        <f ca="1">IF(A40="","",OFFSET(Build!M$498,Build!R525,0))</f>
      </c>
      <c r="Z40" s="433"/>
      <c r="AA40" s="433"/>
      <c r="AB40" s="433"/>
      <c r="AC40" s="433"/>
      <c r="AD40" s="433"/>
      <c r="AE40" s="433"/>
      <c r="AF40" s="433">
        <f ca="1">IF(A40="","",OFFSET(Build!O$498,Build!R525,0))</f>
      </c>
      <c r="AG40" s="433"/>
      <c r="AH40" s="434"/>
      <c r="AJ40" s="14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3"/>
      <c r="BJ40"/>
    </row>
    <row r="41" spans="1:62" ht="12.75" customHeight="1" thickBot="1">
      <c r="A41" s="23">
        <f ca="1">IF(Build!R526,OFFSET(Build!D$498,Build!R526,0),"")</f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7"/>
      <c r="O41" s="7"/>
      <c r="P41" s="189"/>
      <c r="Q41" s="189">
        <f ca="1">IF(A41="","",IF(OFFSET(Build!K$498,Build!R526,0)&gt;0,OFFSET(Build!K$498,Build!R526,0)&amp;"+","")&amp;TEXT(0,OFFSET(Build!E$498,Build!R526,0)))</f>
      </c>
      <c r="R41" s="148">
        <f t="shared" si="0"/>
      </c>
      <c r="S41" s="433" t="str">
        <f ca="1">IF(A41=""," ",OFFSET(Build!J$498,Build!R526,0))</f>
        <v> </v>
      </c>
      <c r="T41" s="433"/>
      <c r="U41" s="433"/>
      <c r="V41" s="148">
        <f t="shared" si="1"/>
      </c>
      <c r="W41" s="433" t="str">
        <f ca="1">IF(A41=""," ",OFFSET(Build!L$498,Build!R526,0))</f>
        <v> </v>
      </c>
      <c r="X41" s="433"/>
      <c r="Y41" s="433">
        <f ca="1">IF(A41="","",OFFSET(Build!M$498,Build!R526,0))</f>
      </c>
      <c r="Z41" s="433"/>
      <c r="AA41" s="433"/>
      <c r="AB41" s="433"/>
      <c r="AC41" s="433"/>
      <c r="AD41" s="433"/>
      <c r="AE41" s="433"/>
      <c r="AF41" s="433">
        <f ca="1">IF(A41="","",OFFSET(Build!O$498,Build!R526,0))</f>
      </c>
      <c r="AG41" s="433"/>
      <c r="AH41" s="434"/>
      <c r="BJ41"/>
    </row>
    <row r="42" spans="1:62" ht="12.75" customHeight="1">
      <c r="A42" s="23">
        <f ca="1">IF(Build!R527,OFFSET(Build!D$498,Build!R527,0),"")</f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7"/>
      <c r="O42" s="7"/>
      <c r="P42" s="189"/>
      <c r="Q42" s="189">
        <f ca="1">IF(A42="","",IF(OFFSET(Build!K$498,Build!R527,0)&gt;0,OFFSET(Build!K$498,Build!R527,0)&amp;"+","")&amp;TEXT(0,OFFSET(Build!E$498,Build!R527,0)))</f>
      </c>
      <c r="R42" s="148">
        <f t="shared" si="0"/>
      </c>
      <c r="S42" s="433" t="str">
        <f ca="1">IF(A42=""," ",OFFSET(Build!J$498,Build!R527,0))</f>
        <v> </v>
      </c>
      <c r="T42" s="433"/>
      <c r="U42" s="433"/>
      <c r="V42" s="148">
        <f t="shared" si="1"/>
      </c>
      <c r="W42" s="433" t="str">
        <f ca="1">IF(A42=""," ",OFFSET(Build!L$498,Build!R527,0))</f>
        <v> </v>
      </c>
      <c r="X42" s="433"/>
      <c r="Y42" s="433">
        <f ca="1">IF(A42="","",OFFSET(Build!M$498,Build!R527,0))</f>
      </c>
      <c r="Z42" s="433"/>
      <c r="AA42" s="433"/>
      <c r="AB42" s="433"/>
      <c r="AC42" s="433"/>
      <c r="AD42" s="433"/>
      <c r="AE42" s="433"/>
      <c r="AF42" s="433">
        <f ca="1">IF(A42="","",OFFSET(Build!O$498,Build!R527,0))</f>
      </c>
      <c r="AG42" s="433"/>
      <c r="AH42" s="434"/>
      <c r="AJ42" s="448" t="s">
        <v>1205</v>
      </c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50"/>
      <c r="BJ42"/>
    </row>
    <row r="43" spans="1:62" ht="12.75" customHeight="1" thickBot="1">
      <c r="A43" s="14">
        <f ca="1">IF(Build!R528,OFFSET(Build!D$498,Build!R528,0),"")</f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0"/>
      <c r="O43" s="10"/>
      <c r="P43" s="190"/>
      <c r="Q43" s="190">
        <f ca="1">IF(A43="","",IF(OFFSET(Build!K$498,Build!R528,0)&gt;0,OFFSET(Build!K$498,Build!R528,0)&amp;"+","")&amp;TEXT(0,OFFSET(Build!E$498,Build!R528,0)))</f>
      </c>
      <c r="R43" s="149">
        <f t="shared" si="0"/>
      </c>
      <c r="S43" s="578" t="str">
        <f ca="1">IF(A43=""," ",OFFSET(Build!J$498,Build!R528,0))</f>
        <v> </v>
      </c>
      <c r="T43" s="578"/>
      <c r="U43" s="578"/>
      <c r="V43" s="149">
        <f t="shared" si="1"/>
      </c>
      <c r="W43" s="578" t="str">
        <f ca="1">IF(A43=""," ",OFFSET(Build!L$498,Build!R528,0))</f>
        <v> </v>
      </c>
      <c r="X43" s="578"/>
      <c r="Y43" s="578">
        <f ca="1">IF(A43="","",OFFSET(Build!M$498,Build!R528,0))</f>
      </c>
      <c r="Z43" s="578"/>
      <c r="AA43" s="578"/>
      <c r="AB43" s="578"/>
      <c r="AC43" s="578"/>
      <c r="AD43" s="578"/>
      <c r="AE43" s="578"/>
      <c r="AF43" s="578">
        <f ca="1">IF(A43="","",OFFSET(Build!O$498,Build!R528,0))</f>
      </c>
      <c r="AG43" s="578"/>
      <c r="AH43" s="580"/>
      <c r="AJ43" s="579" t="e">
        <f>RaceSpecial</f>
        <v>#N/A</v>
      </c>
      <c r="AK43" s="578"/>
      <c r="AL43" s="578"/>
      <c r="AM43" s="578"/>
      <c r="AN43" s="578"/>
      <c r="AO43" s="578"/>
      <c r="AP43" s="578"/>
      <c r="AQ43" s="578"/>
      <c r="AR43" s="578"/>
      <c r="AS43" s="578"/>
      <c r="AT43" s="578"/>
      <c r="AU43" s="578"/>
      <c r="AV43" s="578"/>
      <c r="AW43" s="578"/>
      <c r="AX43" s="578"/>
      <c r="AY43" s="578"/>
      <c r="AZ43" s="578"/>
      <c r="BA43" s="578"/>
      <c r="BB43" s="578"/>
      <c r="BC43" s="578"/>
      <c r="BD43" s="578"/>
      <c r="BE43" s="578"/>
      <c r="BF43" s="580"/>
      <c r="BJ43"/>
    </row>
    <row r="44" ht="12.75" customHeight="1" thickBot="1"/>
    <row r="45" spans="1:58" ht="12.75" customHeight="1">
      <c r="A45" s="448" t="s">
        <v>2524</v>
      </c>
      <c r="B45" s="449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576" t="s">
        <v>2419</v>
      </c>
      <c r="N45" s="577"/>
      <c r="P45" s="448" t="s">
        <v>2528</v>
      </c>
      <c r="Q45" s="449"/>
      <c r="R45" s="449"/>
      <c r="S45" s="449"/>
      <c r="T45" s="449"/>
      <c r="U45" s="449"/>
      <c r="V45" s="449"/>
      <c r="W45" s="449"/>
      <c r="X45" s="449"/>
      <c r="Y45" s="576" t="s">
        <v>1189</v>
      </c>
      <c r="Z45" s="608"/>
      <c r="AB45" s="221" t="s">
        <v>2405</v>
      </c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118"/>
      <c r="AN45" s="118"/>
      <c r="AO45" s="118"/>
      <c r="AP45" s="419" t="s">
        <v>1031</v>
      </c>
      <c r="AQ45" s="398" t="s">
        <v>2388</v>
      </c>
      <c r="AR45" s="118"/>
      <c r="AS45" s="118"/>
      <c r="AT45" s="118"/>
      <c r="AU45" s="118" t="s">
        <v>2389</v>
      </c>
      <c r="AV45" s="118"/>
      <c r="AW45" s="118"/>
      <c r="AX45" s="118"/>
      <c r="AY45" s="118"/>
      <c r="AZ45" s="118" t="s">
        <v>1730</v>
      </c>
      <c r="BA45" s="118"/>
      <c r="BB45" s="118"/>
      <c r="BC45" s="576" t="s">
        <v>2432</v>
      </c>
      <c r="BD45" s="576"/>
      <c r="BE45" s="576" t="s">
        <v>2407</v>
      </c>
      <c r="BF45" s="577"/>
    </row>
    <row r="46" spans="1:58" ht="12.75" customHeight="1">
      <c r="A46" s="446" t="str">
        <f ca="1">IF(Build!AS499,OFFSET(Build!AN$498,Build!AS499,0)&amp;IF(OFFSET(Build!AQ$498,Build!AS499,0)&lt;&gt;""," ("&amp;OFFSET(Build!AQ$498,Build!AS499,0)&amp;")","")," ")</f>
        <v> </v>
      </c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433" t="str">
        <f ca="1">IF(Build!AS499,OFFSET(Build!AO$498,Build!AS499,0)," ")</f>
        <v> </v>
      </c>
      <c r="N46" s="434"/>
      <c r="P46" s="446">
        <f ca="1">IF(Build!BD499,OFFSET(Build!L$32,Build!BD499,0),"")</f>
      </c>
      <c r="Q46" s="603"/>
      <c r="R46" s="603"/>
      <c r="S46" s="603"/>
      <c r="T46" s="603"/>
      <c r="U46" s="603"/>
      <c r="V46" s="603"/>
      <c r="W46" s="603"/>
      <c r="X46" s="603"/>
      <c r="Y46" s="433">
        <f ca="1">IF(Build!BD499,OFFSET(Build!P$32,Build!BD499,0),"")</f>
      </c>
      <c r="Z46" s="434"/>
      <c r="AB46" s="3">
        <f ca="1">IF(Build!V499,OFFSET(Build!B$106,Build!V499,0)&amp;IF(OFFSET(Build!H$106,Build!V499,0)&lt;&gt;""," +"&amp;TEXT(0,OFFSET(Build!H$106,Build!V499,0)),""),"")</f>
      </c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195"/>
      <c r="AN46" s="148"/>
      <c r="AO46" s="7"/>
      <c r="AP46" s="189" t="str">
        <f ca="1">IF(AND(Build!V499,OFFSET(Build!G$106,Build!V499,0)&lt;&gt;0),OFFSET(Build!G$106,Build!V499,0)&amp;"+S ="," ")</f>
        <v> </v>
      </c>
      <c r="AQ46" s="217" t="str">
        <f ca="1">IF(Build!V499,TEXT(0,OFFSET(Build!N$106,Build!V499,0))," ")</f>
        <v> </v>
      </c>
      <c r="AR46" s="217"/>
      <c r="AS46" s="186"/>
      <c r="AT46" s="186"/>
      <c r="AU46" s="186" t="str">
        <f ca="1">IF(Build!V499,OFFSET(Build!O$106,Build!V499,0)," ")</f>
        <v> </v>
      </c>
      <c r="AV46" s="186"/>
      <c r="AW46" s="186"/>
      <c r="AX46" s="186"/>
      <c r="AY46" s="186"/>
      <c r="AZ46" s="186" t="str">
        <f ca="1">IF(Build!V499,OFFSET(Build!I$106,Build!V499,0)," ")</f>
        <v> </v>
      </c>
      <c r="BA46" s="186"/>
      <c r="BB46" s="186"/>
      <c r="BC46" s="433" t="str">
        <f ca="1">IF(Build!V499,OFFSET(Build!M$106,Build!V499,0)," ")</f>
        <v> </v>
      </c>
      <c r="BD46" s="433"/>
      <c r="BE46" s="433" t="str">
        <f ca="1">IF(Build!V499,OFFSET(Build!L$106,Build!V499,0)," ")</f>
        <v> </v>
      </c>
      <c r="BF46" s="434"/>
    </row>
    <row r="47" spans="1:58" ht="12.75" customHeight="1">
      <c r="A47" s="446" t="str">
        <f ca="1">IF(Build!AS500,OFFSET(Build!AN$498,Build!AS500,0)&amp;IF(OFFSET(Build!AQ$498,Build!AS500,0)&lt;&gt;""," ("&amp;OFFSET(Build!AQ$498,Build!AS500,0)&amp;")","")," ")</f>
        <v> </v>
      </c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433" t="str">
        <f ca="1">IF(Build!AS500,OFFSET(Build!AO$498,Build!AS500,0)," ")</f>
        <v> </v>
      </c>
      <c r="N47" s="434"/>
      <c r="P47" s="446">
        <f ca="1">IF(Build!BD500,OFFSET(Build!L$32,Build!BD500,0),"")</f>
      </c>
      <c r="Q47" s="603"/>
      <c r="R47" s="603"/>
      <c r="S47" s="603"/>
      <c r="T47" s="603"/>
      <c r="U47" s="603"/>
      <c r="V47" s="603"/>
      <c r="W47" s="603"/>
      <c r="X47" s="603"/>
      <c r="Y47" s="433">
        <f ca="1">IF(Build!BD500,OFFSET(Build!P$32,Build!BD500,0),"")</f>
      </c>
      <c r="Z47" s="434"/>
      <c r="AB47" s="3">
        <f ca="1">IF(Build!V500,OFFSET(Build!B$106,Build!V500,0)&amp;IF(OFFSET(Build!H$106,Build!V500,0)&lt;&gt;""," +"&amp;TEXT(0,OFFSET(Build!H$106,Build!V500,0)),""),"")</f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195"/>
      <c r="AN47" s="148"/>
      <c r="AO47" s="7"/>
      <c r="AP47" s="189" t="str">
        <f ca="1">IF(AND(Build!V500,OFFSET(Build!G$106,Build!V500,0)&lt;&gt;0),OFFSET(Build!G$106,Build!V500,0)&amp;"+S ="," ")</f>
        <v> </v>
      </c>
      <c r="AQ47" s="217" t="str">
        <f ca="1">IF(Build!V500,TEXT(0,OFFSET(Build!N$106,Build!V500,0))," ")</f>
        <v> </v>
      </c>
      <c r="AR47" s="217"/>
      <c r="AS47" s="186"/>
      <c r="AT47" s="186"/>
      <c r="AU47" s="186" t="str">
        <f ca="1">IF(Build!V500,OFFSET(Build!O$106,Build!V500,0)," ")</f>
        <v> </v>
      </c>
      <c r="AV47" s="186"/>
      <c r="AW47" s="186"/>
      <c r="AX47" s="186"/>
      <c r="AY47" s="186"/>
      <c r="AZ47" s="186" t="str">
        <f ca="1">IF(Build!V500,OFFSET(Build!I$106,Build!V500,0)," ")</f>
        <v> </v>
      </c>
      <c r="BA47" s="186"/>
      <c r="BB47" s="186"/>
      <c r="BC47" s="433" t="str">
        <f ca="1">IF(Build!V500,OFFSET(Build!M$106,Build!V500,0)," ")</f>
        <v> </v>
      </c>
      <c r="BD47" s="433"/>
      <c r="BE47" s="433" t="str">
        <f ca="1">IF(Build!V500,OFFSET(Build!L$106,Build!V500,0)," ")</f>
        <v> </v>
      </c>
      <c r="BF47" s="434"/>
    </row>
    <row r="48" spans="1:58" ht="12.75" customHeight="1">
      <c r="A48" s="446" t="str">
        <f ca="1">IF(Build!AS501,OFFSET(Build!AN$498,Build!AS501,0)&amp;IF(OFFSET(Build!AQ$498,Build!AS501,0)&lt;&gt;""," ("&amp;OFFSET(Build!AQ$498,Build!AS501,0)&amp;")","")," ")</f>
        <v> </v>
      </c>
      <c r="B48" s="603"/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433" t="str">
        <f ca="1">IF(Build!AS501,OFFSET(Build!AO$498,Build!AS501,0)," ")</f>
        <v> </v>
      </c>
      <c r="N48" s="434"/>
      <c r="P48" s="446">
        <f ca="1">IF(Build!BD501,OFFSET(Build!L$32,Build!BD501,0),"")</f>
      </c>
      <c r="Q48" s="603"/>
      <c r="R48" s="603"/>
      <c r="S48" s="603"/>
      <c r="T48" s="603"/>
      <c r="U48" s="603"/>
      <c r="V48" s="603"/>
      <c r="W48" s="603"/>
      <c r="X48" s="603"/>
      <c r="Y48" s="433">
        <f ca="1">IF(Build!BD501,OFFSET(Build!P$32,Build!BD501,0),"")</f>
      </c>
      <c r="Z48" s="434"/>
      <c r="AB48" s="3">
        <f ca="1">IF(Build!V501,OFFSET(Build!B$106,Build!V501,0)&amp;IF(OFFSET(Build!H$106,Build!V501,0)&lt;&gt;""," +"&amp;TEXT(0,OFFSET(Build!H$106,Build!V501,0)),""),"")</f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195"/>
      <c r="AN48" s="148"/>
      <c r="AO48" s="7"/>
      <c r="AP48" s="189" t="str">
        <f ca="1">IF(AND(Build!V501,OFFSET(Build!G$106,Build!V501,0)&lt;&gt;0),OFFSET(Build!G$106,Build!V501,0)&amp;"+S ="," ")</f>
        <v> </v>
      </c>
      <c r="AQ48" s="217" t="str">
        <f ca="1">IF(Build!V501,TEXT(0,OFFSET(Build!N$106,Build!V501,0))," ")</f>
        <v> </v>
      </c>
      <c r="AR48" s="217"/>
      <c r="AS48" s="186"/>
      <c r="AT48" s="186"/>
      <c r="AU48" s="186" t="str">
        <f ca="1">IF(Build!V501,OFFSET(Build!O$106,Build!V501,0)," ")</f>
        <v> </v>
      </c>
      <c r="AV48" s="186"/>
      <c r="AW48" s="186"/>
      <c r="AX48" s="186"/>
      <c r="AY48" s="186"/>
      <c r="AZ48" s="186" t="str">
        <f ca="1">IF(Build!V501,OFFSET(Build!I$106,Build!V501,0)," ")</f>
        <v> </v>
      </c>
      <c r="BA48" s="186"/>
      <c r="BB48" s="186"/>
      <c r="BC48" s="433" t="str">
        <f ca="1">IF(Build!V501,OFFSET(Build!M$106,Build!V501,0)," ")</f>
        <v> </v>
      </c>
      <c r="BD48" s="433"/>
      <c r="BE48" s="433" t="str">
        <f ca="1">IF(Build!V501,OFFSET(Build!L$106,Build!V501,0)," ")</f>
        <v> </v>
      </c>
      <c r="BF48" s="434"/>
    </row>
    <row r="49" spans="1:58" ht="12.75" customHeight="1">
      <c r="A49" s="446" t="str">
        <f ca="1">IF(Build!AS502,OFFSET(Build!AN$498,Build!AS502,0)&amp;IF(OFFSET(Build!AQ$498,Build!AS502,0)&lt;&gt;""," ("&amp;OFFSET(Build!AQ$498,Build!AS502,0)&amp;")","")," ")</f>
        <v> </v>
      </c>
      <c r="B49" s="603"/>
      <c r="C49" s="603"/>
      <c r="D49" s="603"/>
      <c r="E49" s="603"/>
      <c r="F49" s="603"/>
      <c r="G49" s="603"/>
      <c r="H49" s="603"/>
      <c r="I49" s="603"/>
      <c r="J49" s="603"/>
      <c r="K49" s="603"/>
      <c r="L49" s="603"/>
      <c r="M49" s="433" t="str">
        <f ca="1">IF(Build!AS502,OFFSET(Build!AO$498,Build!AS502,0)," ")</f>
        <v> </v>
      </c>
      <c r="N49" s="434"/>
      <c r="P49" s="446">
        <f ca="1">IF(Build!BD502,OFFSET(Build!L$32,Build!BD502,0),"")</f>
      </c>
      <c r="Q49" s="603"/>
      <c r="R49" s="603"/>
      <c r="S49" s="603"/>
      <c r="T49" s="603"/>
      <c r="U49" s="603"/>
      <c r="V49" s="603"/>
      <c r="W49" s="603"/>
      <c r="X49" s="603"/>
      <c r="Y49" s="433">
        <f ca="1">IF(Build!BD502,OFFSET(Build!P$32,Build!BD502,0),"")</f>
      </c>
      <c r="Z49" s="434"/>
      <c r="AB49" s="3">
        <f ca="1">IF(Build!V502,OFFSET(Build!B$106,Build!V502,0)&amp;IF(OFFSET(Build!H$106,Build!V502,0)&lt;&gt;""," +"&amp;TEXT(0,OFFSET(Build!H$106,Build!V502,0)),""),"")</f>
      </c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95"/>
      <c r="AN49" s="148"/>
      <c r="AO49" s="7"/>
      <c r="AP49" s="189" t="str">
        <f ca="1">IF(AND(Build!V502,OFFSET(Build!G$106,Build!V502,0)&lt;&gt;0),OFFSET(Build!G$106,Build!V502,0)&amp;"+S ="," ")</f>
        <v> </v>
      </c>
      <c r="AQ49" s="217" t="str">
        <f ca="1">IF(Build!V502,TEXT(0,OFFSET(Build!N$106,Build!V502,0))," ")</f>
        <v> </v>
      </c>
      <c r="AR49" s="217"/>
      <c r="AS49" s="186"/>
      <c r="AT49" s="186"/>
      <c r="AU49" s="186" t="str">
        <f ca="1">IF(Build!V502,OFFSET(Build!O$106,Build!V502,0)," ")</f>
        <v> </v>
      </c>
      <c r="AV49" s="186"/>
      <c r="AW49" s="186"/>
      <c r="AX49" s="186"/>
      <c r="AY49" s="186"/>
      <c r="AZ49" s="186" t="str">
        <f ca="1">IF(Build!V502,OFFSET(Build!I$106,Build!V502,0)," ")</f>
        <v> </v>
      </c>
      <c r="BA49" s="186"/>
      <c r="BB49" s="186"/>
      <c r="BC49" s="433" t="str">
        <f ca="1">IF(Build!V502,OFFSET(Build!M$106,Build!V502,0)," ")</f>
        <v> </v>
      </c>
      <c r="BD49" s="433"/>
      <c r="BE49" s="433" t="str">
        <f ca="1">IF(Build!V502,OFFSET(Build!L$106,Build!V502,0)," ")</f>
        <v> </v>
      </c>
      <c r="BF49" s="434"/>
    </row>
    <row r="50" spans="1:58" ht="12.75" customHeight="1" thickBot="1">
      <c r="A50" s="446" t="str">
        <f ca="1">IF(Build!AS503,OFFSET(Build!AN$498,Build!AS503,0)&amp;IF(OFFSET(Build!AQ$498,Build!AS503,0)&lt;&gt;""," ("&amp;OFFSET(Build!AQ$498,Build!AS503,0)&amp;")","")," ")</f>
        <v> </v>
      </c>
      <c r="B50" s="603"/>
      <c r="C50" s="603"/>
      <c r="D50" s="603"/>
      <c r="E50" s="603"/>
      <c r="F50" s="603"/>
      <c r="G50" s="603"/>
      <c r="H50" s="603"/>
      <c r="I50" s="603"/>
      <c r="J50" s="603"/>
      <c r="K50" s="603"/>
      <c r="L50" s="603"/>
      <c r="M50" s="433" t="str">
        <f ca="1">IF(Build!AS503,OFFSET(Build!AO$498,Build!AS503,0)," ")</f>
        <v> </v>
      </c>
      <c r="N50" s="434"/>
      <c r="P50" s="446">
        <f ca="1">IF(Build!BD503,OFFSET(Build!L$32,Build!BD503,0),"")</f>
      </c>
      <c r="Q50" s="603"/>
      <c r="R50" s="603"/>
      <c r="S50" s="603"/>
      <c r="T50" s="603"/>
      <c r="U50" s="603"/>
      <c r="V50" s="603"/>
      <c r="W50" s="603"/>
      <c r="X50" s="603"/>
      <c r="Y50" s="433">
        <f ca="1">IF(Build!BD503,OFFSET(Build!P$32,Build!BD503,0),"")</f>
      </c>
      <c r="Z50" s="434"/>
      <c r="AB50" s="4">
        <f ca="1">IF(Build!V503,OFFSET(Build!B$106,Build!V503,0)&amp;IF(OFFSET(Build!H$106,Build!V503,0)&lt;&gt;""," +"&amp;TEXT(0,OFFSET(Build!H$106,Build!V503,0)),""),"")</f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220"/>
      <c r="AN50" s="149"/>
      <c r="AO50" s="10"/>
      <c r="AP50" s="190" t="str">
        <f ca="1">IF(AND(Build!V503,OFFSET(Build!G$106,Build!V503,0)&lt;&gt;0),OFFSET(Build!G$106,Build!V503,0)&amp;"+S ="," ")</f>
        <v> </v>
      </c>
      <c r="AQ50" s="218" t="str">
        <f ca="1">IF(Build!V503,TEXT(0,OFFSET(Build!N$106,Build!V503,0))," ")</f>
        <v> </v>
      </c>
      <c r="AR50" s="218"/>
      <c r="AS50" s="187"/>
      <c r="AT50" s="187"/>
      <c r="AU50" s="187" t="str">
        <f ca="1">IF(Build!V503,OFFSET(Build!O$106,Build!V503,0)," ")</f>
        <v> </v>
      </c>
      <c r="AV50" s="187"/>
      <c r="AW50" s="187"/>
      <c r="AX50" s="187"/>
      <c r="AY50" s="187"/>
      <c r="AZ50" s="187" t="str">
        <f ca="1">IF(Build!V503,OFFSET(Build!I$106,Build!V503,0)," ")</f>
        <v> </v>
      </c>
      <c r="BA50" s="187"/>
      <c r="BB50" s="187"/>
      <c r="BC50" s="578" t="str">
        <f ca="1">IF(Build!V503,OFFSET(Build!M$106,Build!V503,0)," ")</f>
        <v> </v>
      </c>
      <c r="BD50" s="578"/>
      <c r="BE50" s="578" t="str">
        <f ca="1">IF(Build!V503,OFFSET(Build!L$106,Build!V503,0)," ")</f>
        <v> </v>
      </c>
      <c r="BF50" s="580"/>
    </row>
    <row r="51" spans="1:58" ht="12.75" customHeight="1">
      <c r="A51" s="446" t="str">
        <f ca="1">IF(Build!AS504,OFFSET(Build!AN$498,Build!AS504,0)&amp;IF(OFFSET(Build!AQ$498,Build!AS504,0)&lt;&gt;""," ("&amp;OFFSET(Build!AQ$498,Build!AS504,0)&amp;")","")," ")</f>
        <v> </v>
      </c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433" t="str">
        <f ca="1">IF(Build!AS504,OFFSET(Build!AO$498,Build!AS504,0)," ")</f>
        <v> </v>
      </c>
      <c r="N51" s="434"/>
      <c r="P51" s="446">
        <f ca="1">IF(Build!BD504,OFFSET(Build!L$32,Build!BD504,0),"")</f>
      </c>
      <c r="Q51" s="603"/>
      <c r="R51" s="603"/>
      <c r="S51" s="603"/>
      <c r="T51" s="603"/>
      <c r="U51" s="603"/>
      <c r="V51" s="603"/>
      <c r="W51" s="603"/>
      <c r="X51" s="603"/>
      <c r="Y51" s="433">
        <f ca="1">IF(Build!BD504,OFFSET(Build!P$32,Build!BD504,0),"")</f>
      </c>
      <c r="Z51" s="434"/>
      <c r="AB51" s="448" t="s">
        <v>2526</v>
      </c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49"/>
      <c r="BC51" s="449"/>
      <c r="BD51" s="449"/>
      <c r="BE51" s="449"/>
      <c r="BF51" s="450"/>
    </row>
    <row r="52" spans="1:63" ht="12.75" customHeight="1">
      <c r="A52" s="446" t="str">
        <f ca="1">IF(Build!AS505,OFFSET(Build!AN$498,Build!AS505,0)&amp;IF(OFFSET(Build!AQ$498,Build!AS505,0)&lt;&gt;""," ("&amp;OFFSET(Build!AQ$498,Build!AS505,0)&amp;")","")," ")</f>
        <v> </v>
      </c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433" t="str">
        <f ca="1">IF(Build!AS505,OFFSET(Build!AO$498,Build!AS505,0)," ")</f>
        <v> </v>
      </c>
      <c r="N52" s="434"/>
      <c r="P52" s="446">
        <f ca="1">IF(Build!BD505,OFFSET(Build!L$32,Build!BD505,0),"")</f>
      </c>
      <c r="Q52" s="603"/>
      <c r="R52" s="603"/>
      <c r="S52" s="603"/>
      <c r="T52" s="603"/>
      <c r="U52" s="603"/>
      <c r="V52" s="603"/>
      <c r="W52" s="603"/>
      <c r="X52" s="603"/>
      <c r="Y52" s="433">
        <f ca="1">IF(Build!BD505,OFFSET(Build!P$32,Build!BD505,0),"")</f>
      </c>
      <c r="Z52" s="434"/>
      <c r="AB52" s="435">
        <f>Build!BI499&amp;IF(Build!BI499&lt;&gt;"",".","")</f>
      </c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7"/>
      <c r="BJ52"/>
      <c r="BK52"/>
    </row>
    <row r="53" spans="1:63" ht="12.75" customHeight="1">
      <c r="A53" s="446" t="str">
        <f ca="1">IF(Build!AS506,OFFSET(Build!AN$498,Build!AS506,0)&amp;IF(OFFSET(Build!AQ$498,Build!AS506,0)&lt;&gt;""," ("&amp;OFFSET(Build!AQ$498,Build!AS506,0)&amp;")","")," ")</f>
        <v> </v>
      </c>
      <c r="B53" s="603"/>
      <c r="C53" s="603"/>
      <c r="D53" s="603"/>
      <c r="E53" s="603"/>
      <c r="F53" s="603"/>
      <c r="G53" s="603"/>
      <c r="H53" s="603"/>
      <c r="I53" s="603"/>
      <c r="J53" s="603"/>
      <c r="K53" s="603"/>
      <c r="L53" s="603"/>
      <c r="M53" s="433" t="str">
        <f ca="1">IF(Build!AS506,OFFSET(Build!AO$498,Build!AS506,0)," ")</f>
        <v> </v>
      </c>
      <c r="N53" s="434"/>
      <c r="P53" s="446">
        <f ca="1">IF(Build!BD506,OFFSET(Build!L$32,Build!BD506,0),"")</f>
      </c>
      <c r="Q53" s="603"/>
      <c r="R53" s="603"/>
      <c r="S53" s="603"/>
      <c r="T53" s="603"/>
      <c r="U53" s="603"/>
      <c r="V53" s="603"/>
      <c r="W53" s="603"/>
      <c r="X53" s="603"/>
      <c r="Y53" s="433">
        <f ca="1">IF(Build!BD506,OFFSET(Build!P$32,Build!BD506,0),"")</f>
      </c>
      <c r="Z53" s="434"/>
      <c r="AB53" s="438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1"/>
      <c r="BJ53"/>
      <c r="BK53"/>
    </row>
    <row r="54" spans="1:63" ht="12.75" customHeight="1" thickBot="1">
      <c r="A54" s="446" t="str">
        <f ca="1">IF(Build!AS507,OFFSET(Build!AN$498,Build!AS507,0)&amp;IF(OFFSET(Build!AQ$498,Build!AS507,0)&lt;&gt;""," ("&amp;OFFSET(Build!AQ$498,Build!AS507,0)&amp;")","")," ")</f>
        <v> </v>
      </c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433" t="str">
        <f ca="1">IF(Build!AS507,OFFSET(Build!AO$498,Build!AS507,0)," ")</f>
        <v> </v>
      </c>
      <c r="N54" s="434"/>
      <c r="P54" s="446">
        <f ca="1">IF(Build!BD507,OFFSET(Build!L$32,Build!BD507,0),"")</f>
      </c>
      <c r="Q54" s="603"/>
      <c r="R54" s="603"/>
      <c r="S54" s="603"/>
      <c r="T54" s="603"/>
      <c r="U54" s="603"/>
      <c r="V54" s="603"/>
      <c r="W54" s="603"/>
      <c r="X54" s="603"/>
      <c r="Y54" s="433">
        <f ca="1">IF(Build!BD507,OFFSET(Build!P$32,Build!BD507,0),"")</f>
      </c>
      <c r="Z54" s="434"/>
      <c r="AB54" s="572"/>
      <c r="AC54" s="573"/>
      <c r="AD54" s="573"/>
      <c r="AE54" s="573"/>
      <c r="AF54" s="573"/>
      <c r="AG54" s="573"/>
      <c r="AH54" s="573"/>
      <c r="AI54" s="573"/>
      <c r="AJ54" s="573"/>
      <c r="AK54" s="573"/>
      <c r="AL54" s="573"/>
      <c r="AM54" s="573"/>
      <c r="AN54" s="573"/>
      <c r="AO54" s="573"/>
      <c r="AP54" s="573"/>
      <c r="AQ54" s="573"/>
      <c r="AR54" s="573"/>
      <c r="AS54" s="573"/>
      <c r="AT54" s="573"/>
      <c r="AU54" s="573"/>
      <c r="AV54" s="573"/>
      <c r="AW54" s="573"/>
      <c r="AX54" s="573"/>
      <c r="AY54" s="573"/>
      <c r="AZ54" s="573"/>
      <c r="BA54" s="573"/>
      <c r="BB54" s="573"/>
      <c r="BC54" s="573"/>
      <c r="BD54" s="573"/>
      <c r="BE54" s="573"/>
      <c r="BF54" s="574"/>
      <c r="BJ54"/>
      <c r="BK54"/>
    </row>
    <row r="55" spans="1:63" ht="12.75" customHeight="1">
      <c r="A55" s="446" t="str">
        <f ca="1">IF(Build!AS508,OFFSET(Build!AN$498,Build!AS508,0)&amp;IF(OFFSET(Build!AQ$498,Build!AS508,0)&lt;&gt;""," ("&amp;OFFSET(Build!AQ$498,Build!AS508,0)&amp;")","")," ")</f>
        <v> </v>
      </c>
      <c r="B55" s="603"/>
      <c r="C55" s="603"/>
      <c r="D55" s="603"/>
      <c r="E55" s="603"/>
      <c r="F55" s="603"/>
      <c r="G55" s="603"/>
      <c r="H55" s="603"/>
      <c r="I55" s="603"/>
      <c r="J55" s="603"/>
      <c r="K55" s="603"/>
      <c r="L55" s="603"/>
      <c r="M55" s="433" t="str">
        <f ca="1">IF(Build!AS508,OFFSET(Build!AO$498,Build!AS508,0)," ")</f>
        <v> </v>
      </c>
      <c r="N55" s="434"/>
      <c r="P55" s="448" t="s">
        <v>1731</v>
      </c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50"/>
      <c r="AJ55" s="448" t="s">
        <v>2522</v>
      </c>
      <c r="AK55" s="575"/>
      <c r="AL55" s="575"/>
      <c r="AM55" s="575"/>
      <c r="AN55" s="575"/>
      <c r="AO55" s="575"/>
      <c r="AP55" s="575"/>
      <c r="AQ55" s="575"/>
      <c r="AR55" s="575"/>
      <c r="AS55" s="575"/>
      <c r="AT55" s="575"/>
      <c r="AU55" s="575"/>
      <c r="AV55" s="575"/>
      <c r="AW55" s="576" t="s">
        <v>2401</v>
      </c>
      <c r="AX55" s="576"/>
      <c r="AY55" s="576"/>
      <c r="AZ55" s="576" t="s">
        <v>2402</v>
      </c>
      <c r="BA55" s="576"/>
      <c r="BB55" s="576"/>
      <c r="BC55" s="576" t="s">
        <v>2523</v>
      </c>
      <c r="BD55" s="576"/>
      <c r="BE55" s="576" t="s">
        <v>2432</v>
      </c>
      <c r="BF55" s="577"/>
      <c r="BJ55"/>
      <c r="BK55"/>
    </row>
    <row r="56" spans="1:58" ht="12.75" customHeight="1">
      <c r="A56" s="446" t="str">
        <f ca="1">IF(Build!AS509,OFFSET(Build!AN$498,Build!AS509,0)&amp;IF(OFFSET(Build!AQ$498,Build!AS509,0)&lt;&gt;""," ("&amp;OFFSET(Build!AQ$498,Build!AS509,0)&amp;")","")," ")</f>
        <v> </v>
      </c>
      <c r="B56" s="603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433" t="str">
        <f ca="1">IF(Build!AS509,OFFSET(Build!AO$498,Build!AS509,0)," ")</f>
        <v> </v>
      </c>
      <c r="N56" s="434"/>
      <c r="P56" s="451" t="e">
        <f>Build!AD493&amp;Build!AD494&amp;Build!AD495</f>
        <v>#N/A</v>
      </c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2"/>
      <c r="AH56" s="453"/>
      <c r="AJ56" s="446" t="str">
        <f ca="1">IF(Build!T499,OFFSET(Build!B$154,Build!T499,0)," ")</f>
        <v> </v>
      </c>
      <c r="AK56" s="447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33" t="str">
        <f ca="1">IF(Build!T499,OFFSET(Build!F$154,Build!T499,0)," ")</f>
        <v> </v>
      </c>
      <c r="AX56" s="433"/>
      <c r="AY56" s="433"/>
      <c r="AZ56" s="433" t="str">
        <f ca="1">IF(Build!T499,OFFSET(Build!G$154,Build!T499,0)," ")</f>
        <v> </v>
      </c>
      <c r="BA56" s="433"/>
      <c r="BB56" s="433"/>
      <c r="BC56" s="433" t="str">
        <f ca="1">IF(Build!T499,OFFSET(Build!H$154,Build!T499,0)," ")</f>
        <v> </v>
      </c>
      <c r="BD56" s="433"/>
      <c r="BE56" s="433" t="str">
        <f ca="1">IF(Build!T499,OFFSET(Build!I$154,Build!T499,0)," ")</f>
        <v> </v>
      </c>
      <c r="BF56" s="434"/>
    </row>
    <row r="57" spans="1:58" ht="12.75" customHeight="1">
      <c r="A57" s="446" t="str">
        <f ca="1">IF(Build!AS510,OFFSET(Build!AN$498,Build!AS510,0)&amp;IF(OFFSET(Build!AQ$498,Build!AS510,0)&lt;&gt;""," ("&amp;OFFSET(Build!AQ$498,Build!AS510,0)&amp;")","")," ")</f>
        <v> </v>
      </c>
      <c r="B57" s="603"/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433" t="str">
        <f ca="1">IF(Build!AS510,OFFSET(Build!AO$498,Build!AS510,0)," ")</f>
        <v> </v>
      </c>
      <c r="N57" s="434"/>
      <c r="P57" s="454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29"/>
      <c r="AJ57" s="446" t="str">
        <f ca="1">IF(Build!T500,OFFSET(Build!B$154,Build!T500,0)," ")</f>
        <v> </v>
      </c>
      <c r="AK57" s="447"/>
      <c r="AL57" s="447"/>
      <c r="AM57" s="447"/>
      <c r="AN57" s="447"/>
      <c r="AO57" s="447"/>
      <c r="AP57" s="447"/>
      <c r="AQ57" s="447"/>
      <c r="AR57" s="447"/>
      <c r="AS57" s="447"/>
      <c r="AT57" s="447"/>
      <c r="AU57" s="447"/>
      <c r="AV57" s="447"/>
      <c r="AW57" s="433" t="str">
        <f ca="1">IF(Build!T500,OFFSET(Build!F$154,Build!T500,0)," ")</f>
        <v> </v>
      </c>
      <c r="AX57" s="433"/>
      <c r="AY57" s="433"/>
      <c r="AZ57" s="433" t="str">
        <f ca="1">IF(Build!T500,OFFSET(Build!G$154,Build!T500,0)," ")</f>
        <v> </v>
      </c>
      <c r="BA57" s="433"/>
      <c r="BB57" s="433"/>
      <c r="BC57" s="433" t="str">
        <f ca="1">IF(Build!T500,OFFSET(Build!H$154,Build!T500,0)," ")</f>
        <v> </v>
      </c>
      <c r="BD57" s="433"/>
      <c r="BE57" s="433" t="str">
        <f ca="1">IF(Build!T500,OFFSET(Build!I$154,Build!T500,0)," ")</f>
        <v> </v>
      </c>
      <c r="BF57" s="434"/>
    </row>
    <row r="58" spans="1:58" ht="12.75" customHeight="1" thickBot="1">
      <c r="A58" s="609" t="str">
        <f ca="1">IF(Build!AS511,OFFSET(Build!AN$498,Build!AS511,0)&amp;IF(OFFSET(Build!AQ$498,Build!AS511,0)&lt;&gt;""," ("&amp;OFFSET(Build!AQ$498,Build!AS511,0)&amp;")","")," ")</f>
        <v> </v>
      </c>
      <c r="B58" s="610"/>
      <c r="C58" s="610"/>
      <c r="D58" s="610"/>
      <c r="E58" s="610"/>
      <c r="F58" s="610"/>
      <c r="G58" s="610"/>
      <c r="H58" s="610"/>
      <c r="I58" s="610"/>
      <c r="J58" s="610"/>
      <c r="K58" s="610"/>
      <c r="L58" s="610"/>
      <c r="M58" s="578" t="str">
        <f ca="1">IF(Build!AS511,OFFSET(Build!AO$498,Build!AS511,0)," ")</f>
        <v> </v>
      </c>
      <c r="N58" s="580"/>
      <c r="P58" s="430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2"/>
      <c r="AJ58" s="609" t="str">
        <f ca="1">IF(Build!T501,OFFSET(Build!B$154,Build!T501,0)," ")</f>
        <v> </v>
      </c>
      <c r="AK58" s="610"/>
      <c r="AL58" s="610"/>
      <c r="AM58" s="610"/>
      <c r="AN58" s="610"/>
      <c r="AO58" s="610"/>
      <c r="AP58" s="610"/>
      <c r="AQ58" s="610"/>
      <c r="AR58" s="610"/>
      <c r="AS58" s="610"/>
      <c r="AT58" s="610"/>
      <c r="AU58" s="610"/>
      <c r="AV58" s="610"/>
      <c r="AW58" s="578" t="str">
        <f ca="1">IF(Build!T501,OFFSET(Build!F$154,Build!T501,0)," ")</f>
        <v> </v>
      </c>
      <c r="AX58" s="578"/>
      <c r="AY58" s="578"/>
      <c r="AZ58" s="578" t="str">
        <f ca="1">IF(Build!T501,OFFSET(Build!G$154,Build!T501,0)," ")</f>
        <v> </v>
      </c>
      <c r="BA58" s="578"/>
      <c r="BB58" s="578"/>
      <c r="BC58" s="578" t="str">
        <f ca="1">IF(Build!T501,OFFSET(Build!H$154,Build!T501,0)," ")</f>
        <v> </v>
      </c>
      <c r="BD58" s="578"/>
      <c r="BE58" s="578" t="str">
        <f ca="1">IF(Build!T501,OFFSET(Build!I$154,Build!T501,0)," ")</f>
        <v> </v>
      </c>
      <c r="BF58" s="580"/>
    </row>
    <row r="59" spans="1:58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91"/>
      <c r="N59" s="191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</row>
    <row r="60" spans="1:14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91"/>
      <c r="N60" s="191"/>
    </row>
    <row r="61" spans="1:14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91"/>
      <c r="N61" s="191"/>
    </row>
  </sheetData>
  <mergeCells count="268">
    <mergeCell ref="BC58:BD58"/>
    <mergeCell ref="AJ58:AV58"/>
    <mergeCell ref="A58:L58"/>
    <mergeCell ref="M58:N58"/>
    <mergeCell ref="A56:L56"/>
    <mergeCell ref="M56:N56"/>
    <mergeCell ref="A57:L57"/>
    <mergeCell ref="AT20:AU20"/>
    <mergeCell ref="M46:N46"/>
    <mergeCell ref="P47:X47"/>
    <mergeCell ref="S43:U43"/>
    <mergeCell ref="Y45:Z45"/>
    <mergeCell ref="Y36:AE36"/>
    <mergeCell ref="AJ42:BF42"/>
    <mergeCell ref="AW20:AX20"/>
    <mergeCell ref="AJ29:BF29"/>
    <mergeCell ref="AJ27:AS27"/>
    <mergeCell ref="BE58:BF58"/>
    <mergeCell ref="AZ58:BB58"/>
    <mergeCell ref="M47:N47"/>
    <mergeCell ref="P51:X51"/>
    <mergeCell ref="P52:X52"/>
    <mergeCell ref="P53:X53"/>
    <mergeCell ref="AZ57:BB57"/>
    <mergeCell ref="AW58:AY58"/>
    <mergeCell ref="BE48:BF48"/>
    <mergeCell ref="BC48:BD48"/>
    <mergeCell ref="BE46:BF46"/>
    <mergeCell ref="BE47:BF47"/>
    <mergeCell ref="BC46:BD46"/>
    <mergeCell ref="BE49:BF49"/>
    <mergeCell ref="BC47:BD47"/>
    <mergeCell ref="BC49:BD49"/>
    <mergeCell ref="BC50:BD50"/>
    <mergeCell ref="BE50:BF50"/>
    <mergeCell ref="BE57:BF57"/>
    <mergeCell ref="M48:N48"/>
    <mergeCell ref="M49:N49"/>
    <mergeCell ref="M52:N52"/>
    <mergeCell ref="M57:N57"/>
    <mergeCell ref="Y48:Z48"/>
    <mergeCell ref="Y49:Z49"/>
    <mergeCell ref="P54:X54"/>
    <mergeCell ref="S14:U14"/>
    <mergeCell ref="S15:U15"/>
    <mergeCell ref="S16:U16"/>
    <mergeCell ref="AR15:AU16"/>
    <mergeCell ref="AN15:AQ16"/>
    <mergeCell ref="Y14:AE14"/>
    <mergeCell ref="W14:X14"/>
    <mergeCell ref="W15:X15"/>
    <mergeCell ref="W16:X16"/>
    <mergeCell ref="Y15:AE15"/>
    <mergeCell ref="N11:Q11"/>
    <mergeCell ref="L11:M11"/>
    <mergeCell ref="A45:L45"/>
    <mergeCell ref="M45:N45"/>
    <mergeCell ref="A13:O13"/>
    <mergeCell ref="N8:Q8"/>
    <mergeCell ref="N9:Q9"/>
    <mergeCell ref="L10:M10"/>
    <mergeCell ref="N10:Q10"/>
    <mergeCell ref="L8:M8"/>
    <mergeCell ref="L9:M9"/>
    <mergeCell ref="S17:U17"/>
    <mergeCell ref="S18:U18"/>
    <mergeCell ref="S19:U19"/>
    <mergeCell ref="W17:X17"/>
    <mergeCell ref="W18:X18"/>
    <mergeCell ref="W19:X19"/>
    <mergeCell ref="W43:X43"/>
    <mergeCell ref="Y53:Z53"/>
    <mergeCell ref="Y46:Z46"/>
    <mergeCell ref="Y47:Z47"/>
    <mergeCell ref="P48:X48"/>
    <mergeCell ref="P49:X49"/>
    <mergeCell ref="P50:X50"/>
    <mergeCell ref="Y50:Z50"/>
    <mergeCell ref="Y43:AE43"/>
    <mergeCell ref="AB51:BF51"/>
    <mergeCell ref="AJ43:BF43"/>
    <mergeCell ref="Y52:Z52"/>
    <mergeCell ref="A54:L54"/>
    <mergeCell ref="Y51:Z51"/>
    <mergeCell ref="M54:N54"/>
    <mergeCell ref="P45:X45"/>
    <mergeCell ref="P46:X46"/>
    <mergeCell ref="A51:L51"/>
    <mergeCell ref="A52:L52"/>
    <mergeCell ref="A53:L53"/>
    <mergeCell ref="Y35:AE35"/>
    <mergeCell ref="Y54:Z54"/>
    <mergeCell ref="AF42:AH42"/>
    <mergeCell ref="AF43:AH43"/>
    <mergeCell ref="AF40:AH40"/>
    <mergeCell ref="AF41:AH41"/>
    <mergeCell ref="Y37:AE37"/>
    <mergeCell ref="Y38:AE38"/>
    <mergeCell ref="Y39:AE39"/>
    <mergeCell ref="A55:L55"/>
    <mergeCell ref="M55:N55"/>
    <mergeCell ref="A48:L48"/>
    <mergeCell ref="A49:L49"/>
    <mergeCell ref="M53:N53"/>
    <mergeCell ref="A50:L50"/>
    <mergeCell ref="M50:N50"/>
    <mergeCell ref="M51:N51"/>
    <mergeCell ref="A46:L46"/>
    <mergeCell ref="A47:L47"/>
    <mergeCell ref="V6:Y6"/>
    <mergeCell ref="V7:Y7"/>
    <mergeCell ref="V8:Y8"/>
    <mergeCell ref="S20:U20"/>
    <mergeCell ref="S21:U21"/>
    <mergeCell ref="Y20:AE20"/>
    <mergeCell ref="Y21:AE21"/>
    <mergeCell ref="S22:U22"/>
    <mergeCell ref="AE9:AF9"/>
    <mergeCell ref="AG9:AM9"/>
    <mergeCell ref="AJ13:AU13"/>
    <mergeCell ref="AR14:AU14"/>
    <mergeCell ref="AA5:BF6"/>
    <mergeCell ref="AX8:BF8"/>
    <mergeCell ref="AO8:AV8"/>
    <mergeCell ref="AA8:AM8"/>
    <mergeCell ref="Y18:AE18"/>
    <mergeCell ref="Y19:AE19"/>
    <mergeCell ref="AF13:AH13"/>
    <mergeCell ref="Y16:AE16"/>
    <mergeCell ref="Y17:AE17"/>
    <mergeCell ref="Y13:AE13"/>
    <mergeCell ref="AF17:AH17"/>
    <mergeCell ref="AF18:AH18"/>
    <mergeCell ref="AF15:AH15"/>
    <mergeCell ref="AF16:AH16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8:U38"/>
    <mergeCell ref="S39:U39"/>
    <mergeCell ref="S32:U32"/>
    <mergeCell ref="S33:U33"/>
    <mergeCell ref="S34:U34"/>
    <mergeCell ref="S35:U35"/>
    <mergeCell ref="S36:U36"/>
    <mergeCell ref="S37:U37"/>
    <mergeCell ref="Y22:AE22"/>
    <mergeCell ref="Y23:AE23"/>
    <mergeCell ref="Y24:AE24"/>
    <mergeCell ref="Y25:AE25"/>
    <mergeCell ref="Y26:AE26"/>
    <mergeCell ref="Y27:AE27"/>
    <mergeCell ref="Y28:AE28"/>
    <mergeCell ref="Y29:AE29"/>
    <mergeCell ref="Y30:AE30"/>
    <mergeCell ref="Y31:AE31"/>
    <mergeCell ref="Y32:AE32"/>
    <mergeCell ref="Y33:AE33"/>
    <mergeCell ref="W20:X20"/>
    <mergeCell ref="W21:X21"/>
    <mergeCell ref="W22:X22"/>
    <mergeCell ref="W23:X23"/>
    <mergeCell ref="W24:X24"/>
    <mergeCell ref="W25:X25"/>
    <mergeCell ref="W26:X26"/>
    <mergeCell ref="W27:X27"/>
    <mergeCell ref="W35:X35"/>
    <mergeCell ref="W36:X36"/>
    <mergeCell ref="W37:X37"/>
    <mergeCell ref="W38:X38"/>
    <mergeCell ref="AF21:AH21"/>
    <mergeCell ref="AF22:AH22"/>
    <mergeCell ref="AF25:AH25"/>
    <mergeCell ref="AF23:AH23"/>
    <mergeCell ref="AF24:AH24"/>
    <mergeCell ref="W32:X32"/>
    <mergeCell ref="W33:X33"/>
    <mergeCell ref="W34:X34"/>
    <mergeCell ref="AF33:AH33"/>
    <mergeCell ref="AF34:AH34"/>
    <mergeCell ref="Y34:AE34"/>
    <mergeCell ref="W28:X28"/>
    <mergeCell ref="W29:X29"/>
    <mergeCell ref="W30:X30"/>
    <mergeCell ref="W31:X31"/>
    <mergeCell ref="AF35:AH35"/>
    <mergeCell ref="AF32:AH32"/>
    <mergeCell ref="AF27:AH27"/>
    <mergeCell ref="AF28:AH28"/>
    <mergeCell ref="AF29:AH29"/>
    <mergeCell ref="AF30:AH30"/>
    <mergeCell ref="AF31:AH31"/>
    <mergeCell ref="AE10:AF10"/>
    <mergeCell ref="AE11:AF11"/>
    <mergeCell ref="BB14:BF14"/>
    <mergeCell ref="AW15:BA16"/>
    <mergeCell ref="AG10:AM11"/>
    <mergeCell ref="AF14:AH14"/>
    <mergeCell ref="AJ18:AU18"/>
    <mergeCell ref="BC20:BF20"/>
    <mergeCell ref="BB15:BF16"/>
    <mergeCell ref="AZ19:BA19"/>
    <mergeCell ref="AZ20:BA20"/>
    <mergeCell ref="AJ15:AM16"/>
    <mergeCell ref="BC19:BF19"/>
    <mergeCell ref="AW19:AX19"/>
    <mergeCell ref="AT19:AU19"/>
    <mergeCell ref="AF36:AH36"/>
    <mergeCell ref="AW13:BF13"/>
    <mergeCell ref="AT27:BF27"/>
    <mergeCell ref="AT22:BF22"/>
    <mergeCell ref="AJ22:AS22"/>
    <mergeCell ref="AJ14:AM14"/>
    <mergeCell ref="AN14:AQ14"/>
    <mergeCell ref="AW14:BA14"/>
    <mergeCell ref="AF19:AH19"/>
    <mergeCell ref="AF20:AH20"/>
    <mergeCell ref="W41:X41"/>
    <mergeCell ref="Y40:AE40"/>
    <mergeCell ref="Y41:AE41"/>
    <mergeCell ref="Y42:AE42"/>
    <mergeCell ref="W42:X42"/>
    <mergeCell ref="AF37:AH37"/>
    <mergeCell ref="AF38:AH38"/>
    <mergeCell ref="AF39:AH39"/>
    <mergeCell ref="W40:X40"/>
    <mergeCell ref="W39:X39"/>
    <mergeCell ref="L5:M5"/>
    <mergeCell ref="N5:Q5"/>
    <mergeCell ref="I6:K6"/>
    <mergeCell ref="I7:K7"/>
    <mergeCell ref="A5:K5"/>
    <mergeCell ref="N6:Q6"/>
    <mergeCell ref="N7:Q7"/>
    <mergeCell ref="L6:M6"/>
    <mergeCell ref="L7:M7"/>
    <mergeCell ref="BC45:BD45"/>
    <mergeCell ref="BE45:BF45"/>
    <mergeCell ref="I8:K8"/>
    <mergeCell ref="I9:K9"/>
    <mergeCell ref="I10:K10"/>
    <mergeCell ref="I11:K11"/>
    <mergeCell ref="AF26:AH26"/>
    <mergeCell ref="S40:U40"/>
    <mergeCell ref="S41:U41"/>
    <mergeCell ref="S42:U42"/>
    <mergeCell ref="AB52:BF54"/>
    <mergeCell ref="AJ55:AV55"/>
    <mergeCell ref="AW55:AY55"/>
    <mergeCell ref="AZ55:BB55"/>
    <mergeCell ref="BC55:BD55"/>
    <mergeCell ref="BE55:BF55"/>
    <mergeCell ref="BE56:BF56"/>
    <mergeCell ref="BC56:BD56"/>
    <mergeCell ref="AZ56:BB56"/>
    <mergeCell ref="AW57:AY57"/>
    <mergeCell ref="AW56:AY56"/>
    <mergeCell ref="BC57:BD57"/>
    <mergeCell ref="AJ57:AV57"/>
    <mergeCell ref="AJ56:AV56"/>
    <mergeCell ref="P55:AH55"/>
    <mergeCell ref="P56:AH58"/>
  </mergeCells>
  <printOptions horizontalCentered="1" verticalCentered="1"/>
  <pageMargins left="0.393700787401575" right="0.393700787401575" top="0" bottom="0" header="0" footer="0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CF61"/>
  <sheetViews>
    <sheetView zoomScale="75" zoomScaleNormal="75" workbookViewId="0" topLeftCell="A1">
      <selection activeCell="A29" sqref="A29:S29"/>
    </sheetView>
  </sheetViews>
  <sheetFormatPr defaultColWidth="9.33203125" defaultRowHeight="12.75" customHeight="1"/>
  <cols>
    <col min="1" max="16384" width="1.83203125" style="1" customWidth="1"/>
  </cols>
  <sheetData>
    <row r="1" spans="1:84" ht="12.75" customHeight="1">
      <c r="A1" s="448" t="s">
        <v>2529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576" t="s">
        <v>2432</v>
      </c>
      <c r="S1" s="577"/>
      <c r="T1" s="6"/>
      <c r="U1" s="448" t="s">
        <v>2529</v>
      </c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576" t="s">
        <v>2432</v>
      </c>
      <c r="AM1" s="577"/>
      <c r="AO1" s="448" t="s">
        <v>2436</v>
      </c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50"/>
      <c r="BI1" s="41"/>
      <c r="BJ1" s="41"/>
      <c r="BK1" s="41"/>
      <c r="BL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</row>
    <row r="2" spans="1:84" ht="12.75" customHeight="1">
      <c r="A2" s="620" t="str">
        <f ca="1">IF(Build!BZ499,OFFSET(Build!BW$498,Build!BZ499,0)," ")</f>
        <v> 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433" t="str">
        <f ca="1">IF(Build!BZ499,OFFSET(Build!BX$498,Build!BZ499,0)," ")</f>
        <v> </v>
      </c>
      <c r="S2" s="434"/>
      <c r="T2" s="191"/>
      <c r="U2" s="620" t="str">
        <f ca="1">IF(Build!BZ517,OFFSET(Build!BW$498,Build!BZ517,0)," ")</f>
        <v> </v>
      </c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433" t="str">
        <f ca="1">IF(Build!BZ517,OFFSET(Build!BX$498,Build!BZ517,0)," ")</f>
        <v> </v>
      </c>
      <c r="AM2" s="434"/>
      <c r="AO2" s="23" t="s">
        <v>2530</v>
      </c>
      <c r="AP2" s="19"/>
      <c r="AQ2" s="19"/>
      <c r="AR2" s="19"/>
      <c r="AS2" s="19"/>
      <c r="AT2" s="19"/>
      <c r="AU2" s="19"/>
      <c r="AV2" s="19"/>
      <c r="AW2" s="19"/>
      <c r="AX2" s="625">
        <f>Legend!AW2</f>
        <v>0</v>
      </c>
      <c r="AY2" s="625"/>
      <c r="AZ2" s="625"/>
      <c r="BA2" s="625"/>
      <c r="BB2" s="625"/>
      <c r="BC2" s="625"/>
      <c r="BD2" s="625"/>
      <c r="BE2" s="625"/>
      <c r="BF2" s="626"/>
      <c r="CA2" s="41"/>
      <c r="CB2" s="41"/>
      <c r="CC2" s="41"/>
      <c r="CD2" s="41"/>
      <c r="CE2" s="41"/>
      <c r="CF2" s="41"/>
    </row>
    <row r="3" spans="1:84" ht="12.75" customHeight="1">
      <c r="A3" s="620" t="str">
        <f ca="1">IF(Build!BZ500,OFFSET(Build!BW$498,Build!BZ500,0)," ")</f>
        <v> 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433" t="str">
        <f ca="1">IF(Build!BZ500,OFFSET(Build!BX$498,Build!BZ500,0)," ")</f>
        <v> </v>
      </c>
      <c r="S3" s="434"/>
      <c r="T3" s="191"/>
      <c r="U3" s="620" t="str">
        <f ca="1">IF(Build!BZ518,OFFSET(Build!BW$498,Build!BZ518,0)," ")</f>
        <v> </v>
      </c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433" t="str">
        <f ca="1">IF(Build!BZ518,OFFSET(Build!BX$498,Build!BZ518,0)," ")</f>
        <v> </v>
      </c>
      <c r="AM3" s="434"/>
      <c r="AO3" s="23" t="s">
        <v>2437</v>
      </c>
      <c r="AP3" s="19"/>
      <c r="AQ3" s="19"/>
      <c r="AR3" s="19"/>
      <c r="AS3" s="19"/>
      <c r="AT3" s="19"/>
      <c r="AU3" s="19"/>
      <c r="AV3" s="19"/>
      <c r="AW3" s="19"/>
      <c r="AX3" s="625">
        <f>Legend!AH2</f>
        <v>0</v>
      </c>
      <c r="AY3" s="625"/>
      <c r="AZ3" s="625"/>
      <c r="BA3" s="625"/>
      <c r="BB3" s="625"/>
      <c r="BC3" s="625"/>
      <c r="BD3" s="625"/>
      <c r="BE3" s="625"/>
      <c r="BF3" s="626"/>
      <c r="CA3" s="41"/>
      <c r="CB3" s="41"/>
      <c r="CC3" s="41"/>
      <c r="CD3" s="41"/>
      <c r="CE3" s="41"/>
      <c r="CF3" s="41"/>
    </row>
    <row r="4" spans="1:84" ht="12.75" customHeight="1" thickBot="1">
      <c r="A4" s="620" t="str">
        <f ca="1">IF(Build!BZ501,OFFSET(Build!BW$498,Build!BZ501,0)," ")</f>
        <v> 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433" t="str">
        <f ca="1">IF(Build!BZ501,OFFSET(Build!BX$498,Build!BZ501,0)," ")</f>
        <v> </v>
      </c>
      <c r="S4" s="434"/>
      <c r="T4" s="191"/>
      <c r="U4" s="620" t="str">
        <f ca="1">IF(Build!BZ519,OFFSET(Build!BW$498,Build!BZ519,0)," ")</f>
        <v> </v>
      </c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433" t="str">
        <f ca="1">IF(Build!BZ519,OFFSET(Build!BX$498,Build!BZ519,0)," ")</f>
        <v> </v>
      </c>
      <c r="AM4" s="434"/>
      <c r="AO4" s="14" t="str">
        <f>"Legendary Status: "&amp;Legend!AW3</f>
        <v>Legendary Status: Level 0</v>
      </c>
      <c r="AP4" s="12"/>
      <c r="AQ4" s="12"/>
      <c r="AR4" s="12"/>
      <c r="AS4" s="12"/>
      <c r="AT4" s="12"/>
      <c r="AU4" s="12"/>
      <c r="AV4" s="12"/>
      <c r="AW4" s="12"/>
      <c r="AX4" s="201"/>
      <c r="AY4" s="201"/>
      <c r="AZ4" s="201"/>
      <c r="BA4" s="201"/>
      <c r="BB4" s="201"/>
      <c r="BC4" s="201"/>
      <c r="BD4" s="201"/>
      <c r="BE4" s="201"/>
      <c r="BF4" s="202"/>
      <c r="CA4" s="41"/>
      <c r="CB4" s="41"/>
      <c r="CC4" s="41"/>
      <c r="CD4" s="41"/>
      <c r="CE4" s="41"/>
      <c r="CF4" s="41"/>
    </row>
    <row r="5" spans="1:59" ht="12.75" customHeight="1" thickBot="1">
      <c r="A5" s="620" t="str">
        <f ca="1">IF(Build!BZ502,OFFSET(Build!BW$498,Build!BZ502,0)," ")</f>
        <v> 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433" t="str">
        <f ca="1">IF(Build!BZ502,OFFSET(Build!BX$498,Build!BZ502,0)," ")</f>
        <v> </v>
      </c>
      <c r="S5" s="434"/>
      <c r="T5" s="191"/>
      <c r="U5" s="620" t="str">
        <f ca="1">IF(Build!BZ520,OFFSET(Build!BW$498,Build!BZ520,0)," ")</f>
        <v> </v>
      </c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433" t="str">
        <f ca="1">IF(Build!BZ520,OFFSET(Build!BX$498,Build!BZ520,0)," ")</f>
        <v> </v>
      </c>
      <c r="AM5" s="434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</row>
    <row r="6" spans="1:58" ht="12.75" customHeight="1">
      <c r="A6" s="620" t="str">
        <f ca="1">IF(Build!BZ503,OFFSET(Build!BW$498,Build!BZ503,0)," ")</f>
        <v> 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433" t="str">
        <f ca="1">IF(Build!BZ503,OFFSET(Build!BX$498,Build!BZ503,0)," ")</f>
        <v> </v>
      </c>
      <c r="S6" s="434"/>
      <c r="T6" s="191"/>
      <c r="U6" s="620" t="str">
        <f ca="1">IF(Build!BZ521,OFFSET(Build!BW$498,Build!BZ521,0)," ")</f>
        <v> </v>
      </c>
      <c r="V6" s="621"/>
      <c r="W6" s="621"/>
      <c r="X6" s="621"/>
      <c r="Y6" s="621"/>
      <c r="Z6" s="621"/>
      <c r="AA6" s="621"/>
      <c r="AB6" s="621"/>
      <c r="AC6" s="621"/>
      <c r="AD6" s="621"/>
      <c r="AE6" s="621"/>
      <c r="AF6" s="621"/>
      <c r="AG6" s="621"/>
      <c r="AH6" s="621"/>
      <c r="AI6" s="621"/>
      <c r="AJ6" s="621"/>
      <c r="AK6" s="621"/>
      <c r="AL6" s="433" t="str">
        <f ca="1">IF(Build!BZ521,OFFSET(Build!BX$498,Build!BZ521,0)," ")</f>
        <v> </v>
      </c>
      <c r="AM6" s="434"/>
      <c r="AO6" s="448" t="s">
        <v>2532</v>
      </c>
      <c r="AP6" s="449"/>
      <c r="AQ6" s="449"/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D6" s="449"/>
      <c r="BE6" s="449"/>
      <c r="BF6" s="450"/>
    </row>
    <row r="7" spans="1:58" ht="12.75" customHeight="1">
      <c r="A7" s="620" t="str">
        <f ca="1">IF(Build!BZ504,OFFSET(Build!BW$498,Build!BZ504,0)," ")</f>
        <v> 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433" t="str">
        <f ca="1">IF(Build!BZ504,OFFSET(Build!BX$498,Build!BZ504,0)," ")</f>
        <v> </v>
      </c>
      <c r="S7" s="434"/>
      <c r="T7" s="191"/>
      <c r="U7" s="620" t="str">
        <f ca="1">IF(Build!BZ522,OFFSET(Build!BW$498,Build!BZ522,0)," ")</f>
        <v> </v>
      </c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433" t="str">
        <f ca="1">IF(Build!BZ522,OFFSET(Build!BX$498,Build!BZ522,0)," ")</f>
        <v> </v>
      </c>
      <c r="AM7" s="434"/>
      <c r="AO7" s="634" t="s">
        <v>2534</v>
      </c>
      <c r="AP7" s="632"/>
      <c r="AQ7" s="632"/>
      <c r="AR7" s="632"/>
      <c r="AS7" s="632"/>
      <c r="AT7" s="633"/>
      <c r="AU7" s="631" t="s">
        <v>2533</v>
      </c>
      <c r="AV7" s="632"/>
      <c r="AW7" s="632"/>
      <c r="AX7" s="632"/>
      <c r="AY7" s="632"/>
      <c r="AZ7" s="633"/>
      <c r="BA7" s="631" t="s">
        <v>745</v>
      </c>
      <c r="BB7" s="632"/>
      <c r="BC7" s="632"/>
      <c r="BD7" s="632"/>
      <c r="BE7" s="632"/>
      <c r="BF7" s="650"/>
    </row>
    <row r="8" spans="1:58" ht="12.75" customHeight="1">
      <c r="A8" s="620" t="str">
        <f ca="1">IF(Build!BZ505,OFFSET(Build!BW$498,Build!BZ505,0)," ")</f>
        <v> 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433" t="str">
        <f ca="1">IF(Build!BZ505,OFFSET(Build!BX$498,Build!BZ505,0)," ")</f>
        <v> </v>
      </c>
      <c r="S8" s="434"/>
      <c r="T8" s="191"/>
      <c r="U8" s="620" t="str">
        <f ca="1">IF(Build!BZ523,OFFSET(Build!BW$498,Build!BZ523,0)," ")</f>
        <v> </v>
      </c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21"/>
      <c r="AI8" s="621"/>
      <c r="AJ8" s="621"/>
      <c r="AK8" s="621"/>
      <c r="AL8" s="433" t="str">
        <f ca="1">IF(Build!BZ523,OFFSET(Build!BX$498,Build!BZ523,0)," ")</f>
        <v> </v>
      </c>
      <c r="AM8" s="434"/>
      <c r="AO8" s="635">
        <f>IF(Build!V167="","",Build!V167)</f>
      </c>
      <c r="AP8" s="604"/>
      <c r="AQ8" s="604"/>
      <c r="AR8" s="604"/>
      <c r="AS8" s="604"/>
      <c r="AT8" s="618"/>
      <c r="AU8" s="617">
        <f>IF(Build!V168="","",Build!V168)</f>
      </c>
      <c r="AV8" s="604"/>
      <c r="AW8" s="604"/>
      <c r="AX8" s="604"/>
      <c r="AY8" s="604"/>
      <c r="AZ8" s="618"/>
      <c r="BA8" s="617">
        <f>IF(Build!V169="","",Build!V169)</f>
      </c>
      <c r="BB8" s="604"/>
      <c r="BC8" s="604"/>
      <c r="BD8" s="604"/>
      <c r="BE8" s="604"/>
      <c r="BF8" s="605"/>
    </row>
    <row r="9" spans="1:58" ht="12.75" customHeight="1">
      <c r="A9" s="620" t="str">
        <f ca="1">IF(Build!BZ506,OFFSET(Build!BW$498,Build!BZ506,0)," ")</f>
        <v> </v>
      </c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433" t="str">
        <f ca="1">IF(Build!BZ506,OFFSET(Build!BX$498,Build!BZ506,0)," ")</f>
        <v> </v>
      </c>
      <c r="S9" s="434"/>
      <c r="T9" s="191"/>
      <c r="U9" s="620" t="str">
        <f ca="1">IF(Build!BZ524,OFFSET(Build!BW$498,Build!BZ524,0)," ")</f>
        <v> </v>
      </c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433" t="str">
        <f ca="1">IF(Build!BZ524,OFFSET(Build!BX$498,Build!BZ524,0)," ")</f>
        <v> </v>
      </c>
      <c r="AM9" s="434"/>
      <c r="AO9" s="636"/>
      <c r="AP9" s="612"/>
      <c r="AQ9" s="612"/>
      <c r="AR9" s="612"/>
      <c r="AS9" s="612"/>
      <c r="AT9" s="619"/>
      <c r="AU9" s="611"/>
      <c r="AV9" s="612"/>
      <c r="AW9" s="612"/>
      <c r="AX9" s="612"/>
      <c r="AY9" s="612"/>
      <c r="AZ9" s="619"/>
      <c r="BA9" s="611"/>
      <c r="BB9" s="612"/>
      <c r="BC9" s="612"/>
      <c r="BD9" s="612"/>
      <c r="BE9" s="612"/>
      <c r="BF9" s="613"/>
    </row>
    <row r="10" spans="1:58" ht="12.75" customHeight="1" thickBot="1">
      <c r="A10" s="620" t="str">
        <f ca="1">IF(Build!BZ507,OFFSET(Build!BW$498,Build!BZ507,0)," ")</f>
        <v> 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433" t="str">
        <f ca="1">IF(Build!BZ507,OFFSET(Build!BX$498,Build!BZ507,0)," ")</f>
        <v> </v>
      </c>
      <c r="S10" s="434"/>
      <c r="T10" s="191"/>
      <c r="U10" s="620" t="str">
        <f ca="1">IF(Build!BZ525,OFFSET(Build!BW$498,Build!BZ525,0)," ")</f>
        <v> </v>
      </c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433" t="str">
        <f ca="1">IF(Build!BZ525,OFFSET(Build!BX$498,Build!BZ525,0)," ")</f>
        <v> </v>
      </c>
      <c r="AM10" s="434"/>
      <c r="AO10" s="637"/>
      <c r="AP10" s="615"/>
      <c r="AQ10" s="615"/>
      <c r="AR10" s="615"/>
      <c r="AS10" s="615"/>
      <c r="AT10" s="638"/>
      <c r="AU10" s="614"/>
      <c r="AV10" s="615"/>
      <c r="AW10" s="615"/>
      <c r="AX10" s="615"/>
      <c r="AY10" s="615"/>
      <c r="AZ10" s="638"/>
      <c r="BA10" s="614"/>
      <c r="BB10" s="615"/>
      <c r="BC10" s="615"/>
      <c r="BD10" s="615"/>
      <c r="BE10" s="615"/>
      <c r="BF10" s="616"/>
    </row>
    <row r="11" spans="1:58" ht="12.75" customHeight="1">
      <c r="A11" s="620" t="str">
        <f ca="1">IF(Build!BZ508,OFFSET(Build!BW$498,Build!BZ508,0)," ")</f>
        <v> </v>
      </c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433" t="str">
        <f ca="1">IF(Build!BZ508,OFFSET(Build!BX$498,Build!BZ508,0)," ")</f>
        <v> </v>
      </c>
      <c r="S11" s="434"/>
      <c r="T11" s="191"/>
      <c r="U11" s="620" t="str">
        <f ca="1">IF(Build!BZ526,OFFSET(Build!BW$498,Build!BZ526,0)," ")</f>
        <v> </v>
      </c>
      <c r="V11" s="621"/>
      <c r="W11" s="621"/>
      <c r="X11" s="621"/>
      <c r="Y11" s="621"/>
      <c r="Z11" s="621"/>
      <c r="AA11" s="621"/>
      <c r="AB11" s="621"/>
      <c r="AC11" s="621"/>
      <c r="AD11" s="621"/>
      <c r="AE11" s="621"/>
      <c r="AF11" s="621"/>
      <c r="AG11" s="621"/>
      <c r="AH11" s="621"/>
      <c r="AI11" s="621"/>
      <c r="AJ11" s="621"/>
      <c r="AK11" s="621"/>
      <c r="AL11" s="433" t="str">
        <f ca="1">IF(Build!BZ526,OFFSET(Build!BX$498,Build!BZ526,0)," ")</f>
        <v> </v>
      </c>
      <c r="AM11" s="434"/>
      <c r="AO11" s="654" t="str">
        <f>IF(Build!V170="","Other:",Build!V170)</f>
        <v>Other:</v>
      </c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655"/>
      <c r="BD11" s="655"/>
      <c r="BE11" s="655"/>
      <c r="BF11" s="656"/>
    </row>
    <row r="12" spans="1:58" ht="12.75" customHeight="1">
      <c r="A12" s="620" t="str">
        <f ca="1">IF(Build!BZ509,OFFSET(Build!BW$498,Build!BZ509,0)," ")</f>
        <v> </v>
      </c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433" t="str">
        <f ca="1">IF(Build!BZ509,OFFSET(Build!BX$498,Build!BZ509,0)," ")</f>
        <v> </v>
      </c>
      <c r="S12" s="434"/>
      <c r="T12" s="191"/>
      <c r="U12" s="620" t="str">
        <f ca="1">IF(Build!BZ527,OFFSET(Build!BW$498,Build!BZ527,0)," ")</f>
        <v> </v>
      </c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433" t="str">
        <f ca="1">IF(Build!BZ527,OFFSET(Build!BX$498,Build!BZ527,0)," ")</f>
        <v> </v>
      </c>
      <c r="AM12" s="434"/>
      <c r="AO12" s="446">
        <f>IF(Build!V171="","",Build!V171)</f>
      </c>
      <c r="AP12" s="603"/>
      <c r="AQ12" s="603"/>
      <c r="AR12" s="603"/>
      <c r="AS12" s="603"/>
      <c r="AT12" s="603"/>
      <c r="AU12" s="603"/>
      <c r="AV12" s="603"/>
      <c r="AW12" s="603"/>
      <c r="AX12" s="603"/>
      <c r="AY12" s="603"/>
      <c r="AZ12" s="603"/>
      <c r="BA12" s="603"/>
      <c r="BB12" s="603"/>
      <c r="BC12" s="603"/>
      <c r="BD12" s="603"/>
      <c r="BE12" s="603"/>
      <c r="BF12" s="630"/>
    </row>
    <row r="13" spans="1:58" ht="12.75" customHeight="1" thickBot="1">
      <c r="A13" s="620" t="str">
        <f ca="1">IF(Build!BZ510,OFFSET(Build!BW$498,Build!BZ510,0)," ")</f>
        <v> 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433" t="str">
        <f ca="1">IF(Build!BZ510,OFFSET(Build!BX$498,Build!BZ510,0)," ")</f>
        <v> </v>
      </c>
      <c r="S13" s="434"/>
      <c r="T13" s="191"/>
      <c r="U13" s="620" t="str">
        <f ca="1">IF(Build!BZ528,OFFSET(Build!BW$498,Build!BZ528,0)," ")</f>
        <v> </v>
      </c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433" t="str">
        <f ca="1">IF(Build!BZ528,OFFSET(Build!BX$498,Build!BZ528,0)," ")</f>
        <v> </v>
      </c>
      <c r="AM13" s="434"/>
      <c r="AO13" s="609">
        <f>IF(Build!V172="","",Build!V172)</f>
      </c>
      <c r="AP13" s="610"/>
      <c r="AQ13" s="610"/>
      <c r="AR13" s="610"/>
      <c r="AS13" s="610"/>
      <c r="AT13" s="610"/>
      <c r="AU13" s="610"/>
      <c r="AV13" s="610"/>
      <c r="AW13" s="610"/>
      <c r="AX13" s="610"/>
      <c r="AY13" s="610"/>
      <c r="AZ13" s="610"/>
      <c r="BA13" s="610"/>
      <c r="BB13" s="610"/>
      <c r="BC13" s="610"/>
      <c r="BD13" s="610"/>
      <c r="BE13" s="610"/>
      <c r="BF13" s="624"/>
    </row>
    <row r="14" spans="1:58" ht="12.75" customHeight="1">
      <c r="A14" s="620" t="str">
        <f ca="1">IF(Build!BZ511,OFFSET(Build!BW$498,Build!BZ511,0)," ")</f>
        <v> </v>
      </c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433" t="str">
        <f ca="1">IF(Build!BZ511,OFFSET(Build!BX$498,Build!BZ511,0)," ")</f>
        <v> </v>
      </c>
      <c r="S14" s="434"/>
      <c r="T14" s="191"/>
      <c r="U14" s="620" t="str">
        <f ca="1">IF(Build!BZ529,OFFSET(Build!BW$498,Build!BZ529,0)," ")</f>
        <v> </v>
      </c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433" t="str">
        <f ca="1">IF(Build!BZ529,OFFSET(Build!BX$498,Build!BZ529,0)," ")</f>
        <v> </v>
      </c>
      <c r="AM14" s="434"/>
      <c r="AO14" s="448" t="s">
        <v>2434</v>
      </c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50"/>
    </row>
    <row r="15" spans="1:58" ht="12.75" customHeight="1">
      <c r="A15" s="620" t="str">
        <f ca="1">IF(Build!BZ512,OFFSET(Build!BW$498,Build!BZ512,0)," ")</f>
        <v> </v>
      </c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433" t="str">
        <f ca="1">IF(Build!BZ512,OFFSET(Build!BX$498,Build!BZ512,0)," ")</f>
        <v> </v>
      </c>
      <c r="S15" s="434"/>
      <c r="T15" s="191"/>
      <c r="U15" s="620" t="str">
        <f ca="1">IF(Build!BZ530,OFFSET(Build!BW$498,Build!BZ530,0)," ")</f>
        <v> </v>
      </c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433" t="str">
        <f ca="1">IF(Build!BZ530,OFFSET(Build!BX$498,Build!BZ530,0)," ")</f>
        <v> </v>
      </c>
      <c r="AM15" s="434"/>
      <c r="AO15" s="446">
        <f>IF(Build!U174&lt;&gt;"",Build!U174,"")</f>
      </c>
      <c r="AP15" s="603"/>
      <c r="AQ15" s="603"/>
      <c r="AR15" s="603"/>
      <c r="AS15" s="603"/>
      <c r="AT15" s="603"/>
      <c r="AU15" s="603"/>
      <c r="AV15" s="603"/>
      <c r="AW15" s="603"/>
      <c r="AX15" s="603"/>
      <c r="AY15" s="603"/>
      <c r="AZ15" s="603"/>
      <c r="BA15" s="603"/>
      <c r="BB15" s="603"/>
      <c r="BC15" s="603"/>
      <c r="BD15" s="603"/>
      <c r="BE15" s="603"/>
      <c r="BF15" s="630"/>
    </row>
    <row r="16" spans="1:58" ht="12.75" customHeight="1">
      <c r="A16" s="620" t="str">
        <f ca="1">IF(Build!BZ513,OFFSET(Build!BW$498,Build!BZ513,0)," ")</f>
        <v> </v>
      </c>
      <c r="B16" s="621"/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433" t="str">
        <f ca="1">IF(Build!BZ513,OFFSET(Build!BX$498,Build!BZ513,0)," ")</f>
        <v> </v>
      </c>
      <c r="S16" s="434"/>
      <c r="T16" s="191"/>
      <c r="U16" s="620" t="str">
        <f ca="1">IF(Build!BZ531,OFFSET(Build!BW$498,Build!BZ531,0)," ")</f>
        <v> </v>
      </c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433" t="str">
        <f ca="1">IF(Build!BZ531,OFFSET(Build!BX$498,Build!BZ531,0)," ")</f>
        <v> </v>
      </c>
      <c r="AM16" s="434"/>
      <c r="AO16" s="446">
        <f>IF(Build!U175&lt;&gt;"",Build!U175,"")</f>
      </c>
      <c r="AP16" s="603"/>
      <c r="AQ16" s="603"/>
      <c r="AR16" s="603"/>
      <c r="AS16" s="603"/>
      <c r="AT16" s="603"/>
      <c r="AU16" s="603"/>
      <c r="AV16" s="603"/>
      <c r="AW16" s="603"/>
      <c r="AX16" s="603"/>
      <c r="AY16" s="603"/>
      <c r="AZ16" s="603"/>
      <c r="BA16" s="603"/>
      <c r="BB16" s="603"/>
      <c r="BC16" s="603"/>
      <c r="BD16" s="603"/>
      <c r="BE16" s="603"/>
      <c r="BF16" s="630"/>
    </row>
    <row r="17" spans="1:58" ht="12.75" customHeight="1">
      <c r="A17" s="620" t="str">
        <f ca="1">IF(Build!BZ514,OFFSET(Build!BW$498,Build!BZ514,0)," ")</f>
        <v> 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433" t="str">
        <f ca="1">IF(Build!BZ514,OFFSET(Build!BX$498,Build!BZ514,0)," ")</f>
        <v> </v>
      </c>
      <c r="S17" s="434"/>
      <c r="T17" s="191"/>
      <c r="U17" s="620" t="str">
        <f ca="1">IF(Build!BZ532,OFFSET(Build!BW$498,Build!BZ532,0)," ")</f>
        <v> </v>
      </c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433" t="str">
        <f ca="1">IF(Build!BZ532,OFFSET(Build!BX$498,Build!BZ532,0)," ")</f>
        <v> </v>
      </c>
      <c r="AM17" s="434"/>
      <c r="AO17" s="446">
        <f>IF(Build!U176&lt;&gt;"",Build!U176,"")</f>
      </c>
      <c r="AP17" s="603"/>
      <c r="AQ17" s="603"/>
      <c r="AR17" s="603"/>
      <c r="AS17" s="603"/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3"/>
      <c r="BF17" s="630"/>
    </row>
    <row r="18" spans="1:58" ht="12.75" customHeight="1">
      <c r="A18" s="620" t="str">
        <f ca="1">IF(Build!BZ515,OFFSET(Build!BW$498,Build!BZ515,0)," ")</f>
        <v> </v>
      </c>
      <c r="B18" s="621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433" t="str">
        <f ca="1">IF(Build!BZ515,OFFSET(Build!BX$498,Build!BZ515,0)," ")</f>
        <v> </v>
      </c>
      <c r="S18" s="434"/>
      <c r="T18" s="191"/>
      <c r="U18" s="620" t="str">
        <f>IF(Build!Y331&lt;&gt;"",Build!Y331,"Weapons and Armor")</f>
        <v>Weapons and Armor</v>
      </c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433">
        <f>IF(OR(Build!Y331&lt;&gt;"",Build!AD331&lt;&gt;0),Build!AD331,SUM(Front!BE56:BF59)+SUM(Front!BC46:BD50))</f>
        <v>0</v>
      </c>
      <c r="AM18" s="434"/>
      <c r="AO18" s="446">
        <f>IF(Build!U177&lt;&gt;"",Build!U177,"")</f>
      </c>
      <c r="AP18" s="603"/>
      <c r="AQ18" s="603"/>
      <c r="AR18" s="603"/>
      <c r="AS18" s="603"/>
      <c r="AT18" s="603"/>
      <c r="AU18" s="603"/>
      <c r="AV18" s="603"/>
      <c r="AW18" s="603"/>
      <c r="AX18" s="603"/>
      <c r="AY18" s="603"/>
      <c r="AZ18" s="603"/>
      <c r="BA18" s="603"/>
      <c r="BB18" s="603"/>
      <c r="BC18" s="603"/>
      <c r="BD18" s="603"/>
      <c r="BE18" s="603"/>
      <c r="BF18" s="630"/>
    </row>
    <row r="19" spans="1:58" ht="12.75" customHeight="1" thickBot="1">
      <c r="A19" s="620" t="str">
        <f ca="1">IF(Build!BZ516,OFFSET(Build!BW$498,Build!BZ516,0)," ")</f>
        <v> 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433" t="str">
        <f ca="1">IF(Build!BZ516,OFFSET(Build!BX$498,Build!BZ516,0)," ")</f>
        <v> </v>
      </c>
      <c r="S19" s="434"/>
      <c r="T19" s="191"/>
      <c r="U19" s="622" t="str">
        <f>IF(Build!Y332&lt;&gt;"",Build!Y332,"Total weight of equipment")</f>
        <v>Total weight of equipment</v>
      </c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3"/>
      <c r="AL19" s="578">
        <f>IF(OR(Build!Y332&lt;&gt;"",Build!AD332&lt;&gt;0),Build!AD332,SUM(R2:S19)+SUM(AL2:AM18))</f>
        <v>0</v>
      </c>
      <c r="AM19" s="580"/>
      <c r="AO19" s="609">
        <f>IF(Build!U178&lt;&gt;"",Build!U178,"")</f>
      </c>
      <c r="AP19" s="610"/>
      <c r="AQ19" s="610"/>
      <c r="AR19" s="610"/>
      <c r="AS19" s="610"/>
      <c r="AT19" s="610"/>
      <c r="AU19" s="610"/>
      <c r="AV19" s="610"/>
      <c r="AW19" s="610"/>
      <c r="AX19" s="610"/>
      <c r="AY19" s="610"/>
      <c r="AZ19" s="610"/>
      <c r="BA19" s="610"/>
      <c r="BB19" s="610"/>
      <c r="BC19" s="610"/>
      <c r="BD19" s="610"/>
      <c r="BE19" s="610"/>
      <c r="BF19" s="624"/>
    </row>
    <row r="20" ht="12.75" customHeight="1" thickBot="1"/>
    <row r="21" spans="1:58" ht="12.75" customHeight="1">
      <c r="A21" s="448" t="s">
        <v>2433</v>
      </c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652" t="s">
        <v>2422</v>
      </c>
      <c r="U21" s="652"/>
      <c r="V21" s="652"/>
      <c r="W21" s="652"/>
      <c r="X21" s="652"/>
      <c r="Y21" s="652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652"/>
      <c r="AQ21" s="652"/>
      <c r="AR21" s="652"/>
      <c r="AS21" s="652"/>
      <c r="AT21" s="652"/>
      <c r="AU21" s="652"/>
      <c r="AV21" s="652"/>
      <c r="AW21" s="652"/>
      <c r="AX21" s="652"/>
      <c r="AY21" s="652"/>
      <c r="AZ21" s="652"/>
      <c r="BA21" s="652"/>
      <c r="BB21" s="652"/>
      <c r="BC21" s="652"/>
      <c r="BD21" s="652"/>
      <c r="BE21" s="652"/>
      <c r="BF21" s="653"/>
    </row>
    <row r="22" spans="1:58" ht="12.75" customHeight="1">
      <c r="A22" s="446">
        <f>IF(Build!B253&lt;&gt;"",Build!B253,"")</f>
      </c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27"/>
      <c r="T22" s="629">
        <f>IF(Build!F253="","",Build!F253)</f>
      </c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3"/>
      <c r="AX22" s="603"/>
      <c r="AY22" s="603"/>
      <c r="AZ22" s="603"/>
      <c r="BA22" s="603"/>
      <c r="BB22" s="603"/>
      <c r="BC22" s="603"/>
      <c r="BD22" s="603"/>
      <c r="BE22" s="603"/>
      <c r="BF22" s="630"/>
    </row>
    <row r="23" spans="1:58" ht="12.75" customHeight="1">
      <c r="A23" s="446">
        <f>IF(Build!B254&lt;&gt;"",Build!B254,"")</f>
      </c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27"/>
      <c r="T23" s="629">
        <f>IF(Build!F254="","",Build!F254)</f>
      </c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603"/>
      <c r="AW23" s="603"/>
      <c r="AX23" s="603"/>
      <c r="AY23" s="603"/>
      <c r="AZ23" s="603"/>
      <c r="BA23" s="603"/>
      <c r="BB23" s="603"/>
      <c r="BC23" s="603"/>
      <c r="BD23" s="603"/>
      <c r="BE23" s="603"/>
      <c r="BF23" s="630"/>
    </row>
    <row r="24" spans="1:58" ht="12.75" customHeight="1">
      <c r="A24" s="446">
        <f>IF(Build!B255&lt;&gt;"",Build!B255,"")</f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27"/>
      <c r="T24" s="629">
        <f>IF(Build!F255="","",Build!F255)</f>
      </c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03"/>
      <c r="AT24" s="603"/>
      <c r="AU24" s="603"/>
      <c r="AV24" s="603"/>
      <c r="AW24" s="603"/>
      <c r="AX24" s="603"/>
      <c r="AY24" s="603"/>
      <c r="AZ24" s="603"/>
      <c r="BA24" s="603"/>
      <c r="BB24" s="603"/>
      <c r="BC24" s="603"/>
      <c r="BD24" s="603"/>
      <c r="BE24" s="603"/>
      <c r="BF24" s="630"/>
    </row>
    <row r="25" spans="1:58" ht="12.75" customHeight="1">
      <c r="A25" s="446">
        <f>IF(Build!B256&lt;&gt;"",Build!B256,"")</f>
      </c>
      <c r="B25" s="603"/>
      <c r="C25" s="603"/>
      <c r="D25" s="603"/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27"/>
      <c r="T25" s="629">
        <f>IF(Build!F256="","",Build!F256)</f>
      </c>
      <c r="U25" s="603"/>
      <c r="V25" s="603"/>
      <c r="W25" s="603"/>
      <c r="X25" s="603"/>
      <c r="Y25" s="603"/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3"/>
      <c r="AK25" s="603"/>
      <c r="AL25" s="603"/>
      <c r="AM25" s="603"/>
      <c r="AN25" s="603"/>
      <c r="AO25" s="603"/>
      <c r="AP25" s="603"/>
      <c r="AQ25" s="603"/>
      <c r="AR25" s="603"/>
      <c r="AS25" s="603"/>
      <c r="AT25" s="603"/>
      <c r="AU25" s="603"/>
      <c r="AV25" s="603"/>
      <c r="AW25" s="603"/>
      <c r="AX25" s="603"/>
      <c r="AY25" s="603"/>
      <c r="AZ25" s="603"/>
      <c r="BA25" s="603"/>
      <c r="BB25" s="603"/>
      <c r="BC25" s="603"/>
      <c r="BD25" s="603"/>
      <c r="BE25" s="603"/>
      <c r="BF25" s="630"/>
    </row>
    <row r="26" spans="1:58" ht="12.75" customHeight="1">
      <c r="A26" s="446">
        <f>IF(Build!B257&lt;&gt;"",Build!B257,"")</f>
      </c>
      <c r="B26" s="603"/>
      <c r="C26" s="603"/>
      <c r="D26" s="603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27"/>
      <c r="T26" s="629">
        <f>IF(Build!F257="","",Build!F257)</f>
      </c>
      <c r="U26" s="603"/>
      <c r="V26" s="603"/>
      <c r="W26" s="603"/>
      <c r="X26" s="603"/>
      <c r="Y26" s="603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3"/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30"/>
    </row>
    <row r="27" spans="1:58" ht="12.75" customHeight="1">
      <c r="A27" s="446">
        <f>IF(Build!B258&lt;&gt;"",Build!B258,"")</f>
      </c>
      <c r="B27" s="603"/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27"/>
      <c r="T27" s="629">
        <f>IF(Build!F258="","",Build!F258)</f>
      </c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3"/>
      <c r="AF27" s="603"/>
      <c r="AG27" s="603"/>
      <c r="AH27" s="603"/>
      <c r="AI27" s="603"/>
      <c r="AJ27" s="603"/>
      <c r="AK27" s="603"/>
      <c r="AL27" s="603"/>
      <c r="AM27" s="603"/>
      <c r="AN27" s="603"/>
      <c r="AO27" s="603"/>
      <c r="AP27" s="603"/>
      <c r="AQ27" s="603"/>
      <c r="AR27" s="603"/>
      <c r="AS27" s="603"/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30"/>
    </row>
    <row r="28" spans="1:58" ht="12.75" customHeight="1">
      <c r="A28" s="446">
        <f>IF(Build!B259&lt;&gt;"",Build!B259,"")</f>
      </c>
      <c r="B28" s="603"/>
      <c r="C28" s="603"/>
      <c r="D28" s="603"/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27"/>
      <c r="T28" s="629">
        <f>IF(Build!F259="","",Build!F259)</f>
      </c>
      <c r="U28" s="603"/>
      <c r="V28" s="603"/>
      <c r="W28" s="603"/>
      <c r="X28" s="603"/>
      <c r="Y28" s="603"/>
      <c r="Z28" s="603"/>
      <c r="AA28" s="603"/>
      <c r="AB28" s="603"/>
      <c r="AC28" s="603"/>
      <c r="AD28" s="603"/>
      <c r="AE28" s="603"/>
      <c r="AF28" s="603"/>
      <c r="AG28" s="603"/>
      <c r="AH28" s="603"/>
      <c r="AI28" s="603"/>
      <c r="AJ28" s="603"/>
      <c r="AK28" s="603"/>
      <c r="AL28" s="603"/>
      <c r="AM28" s="603"/>
      <c r="AN28" s="603"/>
      <c r="AO28" s="603"/>
      <c r="AP28" s="603"/>
      <c r="AQ28" s="603"/>
      <c r="AR28" s="603"/>
      <c r="AS28" s="603"/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30"/>
    </row>
    <row r="29" spans="1:58" ht="12.75" customHeight="1">
      <c r="A29" s="446">
        <f>IF(Build!B260&lt;&gt;"",Build!B260,"")</f>
      </c>
      <c r="B29" s="603"/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27"/>
      <c r="T29" s="629">
        <f>IF(Build!F260="","",Build!F260)</f>
      </c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  <c r="AI29" s="603"/>
      <c r="AJ29" s="603"/>
      <c r="AK29" s="603"/>
      <c r="AL29" s="603"/>
      <c r="AM29" s="603"/>
      <c r="AN29" s="603"/>
      <c r="AO29" s="603"/>
      <c r="AP29" s="603"/>
      <c r="AQ29" s="603"/>
      <c r="AR29" s="603"/>
      <c r="AS29" s="603"/>
      <c r="AT29" s="603"/>
      <c r="AU29" s="603"/>
      <c r="AV29" s="603"/>
      <c r="AW29" s="603"/>
      <c r="AX29" s="603"/>
      <c r="AY29" s="603"/>
      <c r="AZ29" s="603"/>
      <c r="BA29" s="603"/>
      <c r="BB29" s="603"/>
      <c r="BC29" s="603"/>
      <c r="BD29" s="603"/>
      <c r="BE29" s="603"/>
      <c r="BF29" s="630"/>
    </row>
    <row r="30" spans="1:58" ht="12.75" customHeight="1">
      <c r="A30" s="446">
        <f>IF(Build!B261&lt;&gt;"",Build!B261,"")</f>
      </c>
      <c r="B30" s="603"/>
      <c r="C30" s="603"/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27"/>
      <c r="T30" s="629">
        <f>IF(Build!F261="","",Build!F261)</f>
      </c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603"/>
      <c r="BE30" s="603"/>
      <c r="BF30" s="630"/>
    </row>
    <row r="31" spans="1:58" ht="12.75" customHeight="1" thickBot="1">
      <c r="A31" s="609">
        <f>IF(Build!B262&lt;&gt;"",Build!B262,"")</f>
      </c>
      <c r="B31" s="610"/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610"/>
      <c r="R31" s="610"/>
      <c r="S31" s="628"/>
      <c r="T31" s="651">
        <f>IF(Build!F262="","",Build!F262)</f>
      </c>
      <c r="U31" s="610"/>
      <c r="V31" s="610"/>
      <c r="W31" s="610"/>
      <c r="X31" s="610"/>
      <c r="Y31" s="610"/>
      <c r="Z31" s="610"/>
      <c r="AA31" s="610"/>
      <c r="AB31" s="610"/>
      <c r="AC31" s="610"/>
      <c r="AD31" s="610"/>
      <c r="AE31" s="610"/>
      <c r="AF31" s="610"/>
      <c r="AG31" s="610"/>
      <c r="AH31" s="610"/>
      <c r="AI31" s="610"/>
      <c r="AJ31" s="610"/>
      <c r="AK31" s="610"/>
      <c r="AL31" s="610"/>
      <c r="AM31" s="610"/>
      <c r="AN31" s="610"/>
      <c r="AO31" s="610"/>
      <c r="AP31" s="610"/>
      <c r="AQ31" s="610"/>
      <c r="AR31" s="610"/>
      <c r="AS31" s="610"/>
      <c r="AT31" s="610"/>
      <c r="AU31" s="610"/>
      <c r="AV31" s="610"/>
      <c r="AW31" s="610"/>
      <c r="AX31" s="610"/>
      <c r="AY31" s="610"/>
      <c r="AZ31" s="610"/>
      <c r="BA31" s="610"/>
      <c r="BB31" s="610"/>
      <c r="BC31" s="610"/>
      <c r="BD31" s="610"/>
      <c r="BE31" s="610"/>
      <c r="BF31" s="624"/>
    </row>
    <row r="32" ht="12.75" customHeight="1" thickBot="1"/>
    <row r="33" spans="1:58" ht="12.75" customHeight="1">
      <c r="A33" s="448" t="s">
        <v>2536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31" t="s">
        <v>2537</v>
      </c>
      <c r="N33" s="129"/>
      <c r="O33" s="41"/>
      <c r="P33" s="448" t="s">
        <v>1052</v>
      </c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50"/>
      <c r="AH33" s="408" t="str">
        <f>UPPER(IF(Build!T253&lt;&gt;"",Build!T253&amp;IF(Build!T254&lt;&gt;""," ("&amp;Build!T254&amp;")",""),IF(Build!T254&lt;&gt;"",Build!T254,"MOUNT / ANIMAL COMPANION")))</f>
        <v>MOUNT / ANIMAL COMPANION</v>
      </c>
      <c r="AI33" s="409"/>
      <c r="AJ33" s="409"/>
      <c r="AK33" s="409"/>
      <c r="AL33" s="409"/>
      <c r="AM33" s="409"/>
      <c r="AN33" s="411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10"/>
    </row>
    <row r="34" spans="1:58" ht="12.75" customHeight="1">
      <c r="A34" s="446">
        <f ca="1">IF(Build!AM499,OFFSET(Build!AI$498,Build!AM499,0),"")</f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433">
        <f ca="1">IF(Build!AM499,OFFSET(Build!AJ$498,Build!AM499,0),"")</f>
      </c>
      <c r="N34" s="434"/>
      <c r="P34" s="451">
        <f>IF(Build!B20&lt;&gt;"",Build!B20,"")</f>
      </c>
      <c r="Q34" s="642"/>
      <c r="R34" s="642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H34" s="21" t="s">
        <v>1797</v>
      </c>
      <c r="AI34" s="9"/>
      <c r="AJ34" s="582">
        <f>IF(Build!T255&lt;&gt;"",Build!T255,"")</f>
      </c>
      <c r="AK34" s="583"/>
      <c r="AL34" s="404" t="s">
        <v>1049</v>
      </c>
      <c r="AM34" s="9"/>
      <c r="AN34" s="9"/>
      <c r="AO34" s="9"/>
      <c r="AP34" s="582">
        <f>IF(Build!T261&lt;&gt;"",Build!T261,"")</f>
      </c>
      <c r="AQ34" s="583"/>
      <c r="AR34" s="404" t="s">
        <v>1180</v>
      </c>
      <c r="AS34" s="9"/>
      <c r="AT34" s="9"/>
      <c r="AU34" s="9"/>
      <c r="AV34" s="9"/>
      <c r="AW34" s="657">
        <f>IF(Build!X255&lt;&gt;"",Build!X255,"")</f>
      </c>
      <c r="AX34" s="658"/>
      <c r="AY34" s="404" t="s">
        <v>1039</v>
      </c>
      <c r="AZ34" s="9"/>
      <c r="BA34" s="9"/>
      <c r="BB34" s="9"/>
      <c r="BC34" s="9"/>
      <c r="BD34" s="9"/>
      <c r="BE34" s="657">
        <f>IF(Build!X261&lt;&gt;"",Build!X261,"")</f>
      </c>
      <c r="BF34" s="664"/>
    </row>
    <row r="35" spans="1:58" ht="12.75" customHeight="1" thickBot="1">
      <c r="A35" s="446">
        <f ca="1">IF(Build!AM500,OFFSET(Build!AI$498,Build!AM500,0),"")</f>
      </c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433">
        <f ca="1">IF(Build!AM500,OFFSET(Build!AJ$498,Build!AM500,0),"")</f>
      </c>
      <c r="N35" s="434"/>
      <c r="P35" s="647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9"/>
      <c r="AH35" s="5" t="s">
        <v>2374</v>
      </c>
      <c r="AI35" s="6"/>
      <c r="AJ35" s="604">
        <f>IF(Build!T256&lt;&gt;"",Build!T256,"")</f>
      </c>
      <c r="AK35" s="618"/>
      <c r="AL35" s="292" t="s">
        <v>1030</v>
      </c>
      <c r="AM35" s="6"/>
      <c r="AN35" s="6"/>
      <c r="AO35" s="6"/>
      <c r="AP35" s="604">
        <f>IF(Build!T262&lt;&gt;"",Build!T262,"")</f>
      </c>
      <c r="AQ35" s="618"/>
      <c r="AR35" s="292" t="s">
        <v>1046</v>
      </c>
      <c r="AS35" s="6"/>
      <c r="AT35" s="6"/>
      <c r="AU35" s="6"/>
      <c r="AV35" s="6"/>
      <c r="AW35" s="659">
        <f>IF(Build!X256&lt;&gt;"",Build!X256,"")</f>
      </c>
      <c r="AX35" s="660"/>
      <c r="AY35" s="292" t="s">
        <v>1033</v>
      </c>
      <c r="AZ35" s="6"/>
      <c r="BA35" s="6"/>
      <c r="BB35" s="6"/>
      <c r="BC35" s="6"/>
      <c r="BD35" s="6"/>
      <c r="BE35" s="659">
        <f>IF(Build!X262&lt;&gt;"",Build!X262,"")</f>
      </c>
      <c r="BF35" s="665"/>
    </row>
    <row r="36" spans="1:58" ht="12.75" customHeight="1" thickBot="1">
      <c r="A36" s="446">
        <f ca="1">IF(Build!AM501,OFFSET(Build!AI$498,Build!AM501,0),"")</f>
      </c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433">
        <f ca="1">IF(Build!AM501,OFFSET(Build!AJ$498,Build!AM501,0),"")</f>
      </c>
      <c r="N36" s="434"/>
      <c r="AH36" s="5" t="s">
        <v>1798</v>
      </c>
      <c r="AI36" s="6"/>
      <c r="AJ36" s="604">
        <f>IF(Build!T257&lt;&gt;"",Build!T257,"")</f>
      </c>
      <c r="AK36" s="618"/>
      <c r="AL36" s="292" t="s">
        <v>1031</v>
      </c>
      <c r="AM36" s="6"/>
      <c r="AN36" s="6"/>
      <c r="AO36" s="6"/>
      <c r="AP36" s="604">
        <f>IF(Build!T263&lt;&gt;"",Build!T263,"")</f>
      </c>
      <c r="AQ36" s="618"/>
      <c r="AR36" s="292" t="s">
        <v>1037</v>
      </c>
      <c r="AS36" s="6"/>
      <c r="AT36" s="6"/>
      <c r="AU36" s="6"/>
      <c r="AV36" s="6"/>
      <c r="AW36" s="659">
        <f>IF(Build!X257&lt;&gt;"",Build!X257,"")</f>
      </c>
      <c r="AX36" s="660"/>
      <c r="AY36" s="292" t="s">
        <v>1034</v>
      </c>
      <c r="AZ36" s="6"/>
      <c r="BA36" s="6"/>
      <c r="BB36" s="6"/>
      <c r="BC36" s="6"/>
      <c r="BD36" s="6"/>
      <c r="BE36" s="659">
        <f>IF(Build!X263&lt;&gt;"",Build!X263,"")</f>
      </c>
      <c r="BF36" s="665"/>
    </row>
    <row r="37" spans="1:58" ht="12.75" customHeight="1">
      <c r="A37" s="446">
        <f ca="1">IF(Build!AM502,OFFSET(Build!AI$498,Build!AM502,0),"")</f>
      </c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433">
        <f ca="1">IF(Build!AM502,OFFSET(Build!AJ$498,Build!AM502,0),"")</f>
      </c>
      <c r="N37" s="434"/>
      <c r="P37" s="448" t="s">
        <v>1053</v>
      </c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50"/>
      <c r="AH37" s="5" t="s">
        <v>1799</v>
      </c>
      <c r="AI37" s="6"/>
      <c r="AJ37" s="604">
        <f>IF(Build!T258&lt;&gt;"",Build!T258,"")</f>
      </c>
      <c r="AK37" s="618"/>
      <c r="AL37" s="292" t="s">
        <v>1032</v>
      </c>
      <c r="AM37" s="6"/>
      <c r="AN37" s="6"/>
      <c r="AO37" s="6"/>
      <c r="AP37" s="604">
        <f>IF(Build!T264&lt;&gt;"",Build!T264,"")</f>
      </c>
      <c r="AQ37" s="618"/>
      <c r="AR37" s="292" t="s">
        <v>1038</v>
      </c>
      <c r="AS37" s="6"/>
      <c r="AT37" s="6"/>
      <c r="AU37" s="6"/>
      <c r="AV37" s="6"/>
      <c r="AW37" s="659">
        <f>IF(Build!X258&lt;&gt;"",Build!X258,"")</f>
      </c>
      <c r="AX37" s="660"/>
      <c r="AY37" s="292" t="s">
        <v>1051</v>
      </c>
      <c r="AZ37" s="6"/>
      <c r="BA37" s="6"/>
      <c r="BB37" s="6"/>
      <c r="BC37" s="6"/>
      <c r="BD37" s="6"/>
      <c r="BE37" s="659">
        <f>IF(Build!X264&lt;&gt;"",Build!X264,"")</f>
      </c>
      <c r="BF37" s="665"/>
    </row>
    <row r="38" spans="1:58" ht="12.75" customHeight="1">
      <c r="A38" s="446">
        <f ca="1">IF(Build!AM503,OFFSET(Build!AI$498,Build!AM503,0),"")</f>
      </c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433">
        <f ca="1">IF(Build!AM503,OFFSET(Build!AJ$498,Build!AM503,0),"")</f>
      </c>
      <c r="N38" s="434"/>
      <c r="P38" s="451">
        <f>IF(Build!B23&lt;&gt;"",Build!B23,"")</f>
      </c>
      <c r="Q38" s="642"/>
      <c r="R38" s="642"/>
      <c r="S38" s="642"/>
      <c r="T38" s="642"/>
      <c r="U38" s="642"/>
      <c r="V38" s="642"/>
      <c r="W38" s="642"/>
      <c r="X38" s="642"/>
      <c r="Y38" s="642"/>
      <c r="Z38" s="642"/>
      <c r="AA38" s="642"/>
      <c r="AB38" s="642"/>
      <c r="AC38" s="642"/>
      <c r="AD38" s="642"/>
      <c r="AE38" s="642"/>
      <c r="AF38" s="643"/>
      <c r="AH38" s="5" t="s">
        <v>1800</v>
      </c>
      <c r="AI38" s="6"/>
      <c r="AJ38" s="604">
        <f>IF(Build!T259&lt;&gt;"",Build!T259,"")</f>
      </c>
      <c r="AK38" s="618"/>
      <c r="AL38" s="292" t="s">
        <v>1048</v>
      </c>
      <c r="AM38" s="6"/>
      <c r="AN38" s="6"/>
      <c r="AO38" s="6"/>
      <c r="AP38" s="604">
        <f>IF(Build!T265&lt;&gt;"",Build!T265,"")</f>
      </c>
      <c r="AQ38" s="618"/>
      <c r="AR38" s="292" t="s">
        <v>1047</v>
      </c>
      <c r="AS38" s="6"/>
      <c r="AT38" s="6"/>
      <c r="AU38" s="6"/>
      <c r="AV38" s="6"/>
      <c r="AW38" s="659">
        <f>IF(Build!X259&lt;&gt;"",Build!X259,"")</f>
      </c>
      <c r="AX38" s="660"/>
      <c r="AY38" s="292" t="s">
        <v>1794</v>
      </c>
      <c r="AZ38" s="6"/>
      <c r="BA38" s="6"/>
      <c r="BB38" s="6"/>
      <c r="BC38" s="6"/>
      <c r="BD38" s="6"/>
      <c r="BE38" s="405"/>
      <c r="BF38" s="407">
        <f>IF(Build!X265&lt;&gt;"",Build!X265&amp;IF(Build!X266&lt;&gt;"","/",""),"")&amp;IF(Build!X266&lt;&gt;"",Build!X266,"")</f>
      </c>
    </row>
    <row r="39" spans="1:58" ht="12.75" customHeight="1">
      <c r="A39" s="446">
        <f ca="1">IF(Build!AM504,OFFSET(Build!AI$498,Build!AM504,0),"")</f>
      </c>
      <c r="B39" s="603"/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433">
        <f ca="1">IF(Build!AM504,OFFSET(Build!AJ$498,Build!AM504,0),"")</f>
      </c>
      <c r="N39" s="434"/>
      <c r="P39" s="644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6"/>
      <c r="AH39" s="23" t="s">
        <v>1801</v>
      </c>
      <c r="AI39" s="19"/>
      <c r="AJ39" s="606">
        <f>IF(Build!T260&lt;&gt;"",Build!T260,"")</f>
      </c>
      <c r="AK39" s="661"/>
      <c r="AL39" s="25" t="s">
        <v>2450</v>
      </c>
      <c r="AM39" s="19"/>
      <c r="AN39" s="19"/>
      <c r="AO39" s="19"/>
      <c r="AP39" s="606">
        <f>IF(Build!T266&lt;&gt;"",Build!T266,"")</f>
      </c>
      <c r="AQ39" s="661"/>
      <c r="AR39" s="25" t="s">
        <v>1050</v>
      </c>
      <c r="AS39" s="19"/>
      <c r="AT39" s="19"/>
      <c r="AU39" s="19"/>
      <c r="AV39" s="19"/>
      <c r="AW39" s="662">
        <f>IF(Build!X260&lt;&gt;"",Build!X260,"")</f>
      </c>
      <c r="AX39" s="663"/>
      <c r="AY39" s="25" t="s">
        <v>162</v>
      </c>
      <c r="AZ39" s="19"/>
      <c r="BA39" s="19"/>
      <c r="BB39" s="19"/>
      <c r="BC39" s="19"/>
      <c r="BD39" s="19"/>
      <c r="BE39" s="406"/>
      <c r="BF39" s="194">
        <f>IF(Build!T267&lt;&gt;"",Build!T267&amp;IF(Build!X267&lt;&gt;""," at "&amp;Build!X267,"Pts."),IF(Build!X267&lt;&gt;"","Step "&amp;Build!X267,""))</f>
      </c>
    </row>
    <row r="40" spans="1:58" ht="12.75" customHeight="1">
      <c r="A40" s="446">
        <f ca="1">IF(Build!AM505,OFFSET(Build!AI$498,Build!AM505,0),"")</f>
      </c>
      <c r="B40" s="603"/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433">
        <f ca="1">IF(Build!AM505,OFFSET(Build!AJ$498,Build!AM505,0),"")</f>
      </c>
      <c r="N40" s="434"/>
      <c r="P40" s="644"/>
      <c r="Q40" s="645"/>
      <c r="R40" s="645"/>
      <c r="S40" s="645"/>
      <c r="T40" s="645"/>
      <c r="U40" s="645"/>
      <c r="V40" s="645"/>
      <c r="W40" s="645"/>
      <c r="X40" s="645"/>
      <c r="Y40" s="645"/>
      <c r="Z40" s="645"/>
      <c r="AA40" s="645"/>
      <c r="AB40" s="645"/>
      <c r="AC40" s="645"/>
      <c r="AD40" s="645"/>
      <c r="AE40" s="645"/>
      <c r="AF40" s="646"/>
      <c r="AH40" s="451">
        <f>IF(Build!T268&lt;&gt;"",Build!T268,"")</f>
      </c>
      <c r="AI40" s="642"/>
      <c r="AJ40" s="642"/>
      <c r="AK40" s="642"/>
      <c r="AL40" s="642"/>
      <c r="AM40" s="642"/>
      <c r="AN40" s="642"/>
      <c r="AO40" s="642"/>
      <c r="AP40" s="642"/>
      <c r="AQ40" s="642"/>
      <c r="AR40" s="642"/>
      <c r="AS40" s="642"/>
      <c r="AT40" s="642"/>
      <c r="AU40" s="642"/>
      <c r="AV40" s="642"/>
      <c r="AW40" s="642"/>
      <c r="AX40" s="642"/>
      <c r="AY40" s="642"/>
      <c r="AZ40" s="642"/>
      <c r="BA40" s="642"/>
      <c r="BB40" s="642"/>
      <c r="BC40" s="642"/>
      <c r="BD40" s="642"/>
      <c r="BE40" s="642"/>
      <c r="BF40" s="643"/>
    </row>
    <row r="41" spans="1:58" ht="12.75" customHeight="1">
      <c r="A41" s="446">
        <f ca="1">IF(Build!AM506,OFFSET(Build!AI$498,Build!AM506,0),"")</f>
      </c>
      <c r="B41" s="603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433">
        <f ca="1">IF(Build!AM506,OFFSET(Build!AJ$498,Build!AM506,0),"")</f>
      </c>
      <c r="N41" s="434"/>
      <c r="P41" s="644"/>
      <c r="Q41" s="645"/>
      <c r="R41" s="645"/>
      <c r="S41" s="645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6"/>
      <c r="AH41" s="644"/>
      <c r="AI41" s="645"/>
      <c r="AJ41" s="645"/>
      <c r="AK41" s="645"/>
      <c r="AL41" s="645"/>
      <c r="AM41" s="645"/>
      <c r="AN41" s="645"/>
      <c r="AO41" s="645"/>
      <c r="AP41" s="645"/>
      <c r="AQ41" s="645"/>
      <c r="AR41" s="645"/>
      <c r="AS41" s="645"/>
      <c r="AT41" s="645"/>
      <c r="AU41" s="645"/>
      <c r="AV41" s="645"/>
      <c r="AW41" s="645"/>
      <c r="AX41" s="645"/>
      <c r="AY41" s="645"/>
      <c r="AZ41" s="645"/>
      <c r="BA41" s="645"/>
      <c r="BB41" s="645"/>
      <c r="BC41" s="645"/>
      <c r="BD41" s="645"/>
      <c r="BE41" s="645"/>
      <c r="BF41" s="646"/>
    </row>
    <row r="42" spans="1:58" ht="12.75" customHeight="1" thickBot="1">
      <c r="A42" s="446">
        <f ca="1">IF(Build!AM507,OFFSET(Build!AI$498,Build!AM507,0),"")</f>
      </c>
      <c r="B42" s="603"/>
      <c r="C42" s="603"/>
      <c r="D42" s="603"/>
      <c r="E42" s="603"/>
      <c r="F42" s="603"/>
      <c r="G42" s="603"/>
      <c r="H42" s="603"/>
      <c r="I42" s="603"/>
      <c r="J42" s="603"/>
      <c r="K42" s="603"/>
      <c r="L42" s="603"/>
      <c r="M42" s="433">
        <f ca="1">IF(Build!AM507,OFFSET(Build!AJ$498,Build!AM507,0),"")</f>
      </c>
      <c r="N42" s="434"/>
      <c r="P42" s="647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  <c r="AF42" s="649"/>
      <c r="AH42" s="647"/>
      <c r="AI42" s="648"/>
      <c r="AJ42" s="648"/>
      <c r="AK42" s="648"/>
      <c r="AL42" s="648"/>
      <c r="AM42" s="648"/>
      <c r="AN42" s="648"/>
      <c r="AO42" s="648"/>
      <c r="AP42" s="648"/>
      <c r="AQ42" s="648"/>
      <c r="AR42" s="648"/>
      <c r="AS42" s="648"/>
      <c r="AT42" s="648"/>
      <c r="AU42" s="648"/>
      <c r="AV42" s="648"/>
      <c r="AW42" s="648"/>
      <c r="AX42" s="648"/>
      <c r="AY42" s="648"/>
      <c r="AZ42" s="648"/>
      <c r="BA42" s="648"/>
      <c r="BB42" s="648"/>
      <c r="BC42" s="648"/>
      <c r="BD42" s="648"/>
      <c r="BE42" s="648"/>
      <c r="BF42" s="649"/>
    </row>
    <row r="43" spans="1:14" ht="12.75" customHeight="1" thickBot="1">
      <c r="A43" s="446">
        <f ca="1">IF(Build!AM508,OFFSET(Build!AI$498,Build!AM508,0),"")</f>
      </c>
      <c r="B43" s="603"/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433">
        <f ca="1">IF(Build!AM508,OFFSET(Build!AJ$498,Build!AM508,0),"")</f>
      </c>
      <c r="N43" s="434"/>
    </row>
    <row r="44" spans="1:58" ht="12.75" customHeight="1">
      <c r="A44" s="446">
        <f ca="1">IF(Build!AM509,OFFSET(Build!AI$498,Build!AM509,0),"")</f>
      </c>
      <c r="B44" s="603"/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433">
        <f ca="1">IF(Build!AM509,OFFSET(Build!AJ$498,Build!AM509,0),"")</f>
      </c>
      <c r="N44" s="434"/>
      <c r="P44" s="639" t="s">
        <v>1054</v>
      </c>
      <c r="Q44" s="640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640"/>
      <c r="AP44" s="640"/>
      <c r="AQ44" s="640"/>
      <c r="AR44" s="640"/>
      <c r="AS44" s="640"/>
      <c r="AT44" s="640"/>
      <c r="AU44" s="640"/>
      <c r="AV44" s="640"/>
      <c r="AW44" s="640"/>
      <c r="AX44" s="640"/>
      <c r="AY44" s="640"/>
      <c r="AZ44" s="640"/>
      <c r="BA44" s="640"/>
      <c r="BB44" s="640"/>
      <c r="BC44" s="640"/>
      <c r="BD44" s="640"/>
      <c r="BE44" s="640"/>
      <c r="BF44" s="641"/>
    </row>
    <row r="45" spans="1:58" ht="12.75" customHeight="1">
      <c r="A45" s="446">
        <f ca="1">IF(Build!AM510,OFFSET(Build!AI$498,Build!AM510,0),"")</f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433">
        <f ca="1">IF(Build!AM510,OFFSET(Build!AJ$498,Build!AM510,0),"")</f>
      </c>
      <c r="N45" s="434"/>
      <c r="P45" s="451">
        <f>IF(Build!B27&lt;&gt;"",Build!B27,"")</f>
      </c>
      <c r="Q45" s="642"/>
      <c r="R45" s="642"/>
      <c r="S45" s="642"/>
      <c r="T45" s="642"/>
      <c r="U45" s="642"/>
      <c r="V45" s="642"/>
      <c r="W45" s="642"/>
      <c r="X45" s="642"/>
      <c r="Y45" s="642"/>
      <c r="Z45" s="642"/>
      <c r="AA45" s="642"/>
      <c r="AB45" s="642"/>
      <c r="AC45" s="642"/>
      <c r="AD45" s="642"/>
      <c r="AE45" s="642"/>
      <c r="AF45" s="642"/>
      <c r="AG45" s="642"/>
      <c r="AH45" s="642"/>
      <c r="AI45" s="642"/>
      <c r="AJ45" s="642"/>
      <c r="AK45" s="642"/>
      <c r="AL45" s="642"/>
      <c r="AM45" s="642"/>
      <c r="AN45" s="642"/>
      <c r="AO45" s="642"/>
      <c r="AP45" s="642"/>
      <c r="AQ45" s="642"/>
      <c r="AR45" s="642"/>
      <c r="AS45" s="642"/>
      <c r="AT45" s="642"/>
      <c r="AU45" s="642"/>
      <c r="AV45" s="642"/>
      <c r="AW45" s="642"/>
      <c r="AX45" s="642"/>
      <c r="AY45" s="642"/>
      <c r="AZ45" s="642"/>
      <c r="BA45" s="642"/>
      <c r="BB45" s="642"/>
      <c r="BC45" s="642"/>
      <c r="BD45" s="642"/>
      <c r="BE45" s="642"/>
      <c r="BF45" s="643"/>
    </row>
    <row r="46" spans="1:58" ht="12.75" customHeight="1">
      <c r="A46" s="446">
        <f ca="1">IF(Build!AM511,OFFSET(Build!AI$498,Build!AM511,0),"")</f>
      </c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433">
        <f ca="1">IF(Build!AM511,OFFSET(Build!AJ$498,Build!AM511,0),"")</f>
      </c>
      <c r="N46" s="434"/>
      <c r="P46" s="644"/>
      <c r="Q46" s="645"/>
      <c r="R46" s="645"/>
      <c r="S46" s="645"/>
      <c r="T46" s="645"/>
      <c r="U46" s="645"/>
      <c r="V46" s="645"/>
      <c r="W46" s="645"/>
      <c r="X46" s="645"/>
      <c r="Y46" s="645"/>
      <c r="Z46" s="645"/>
      <c r="AA46" s="645"/>
      <c r="AB46" s="645"/>
      <c r="AC46" s="645"/>
      <c r="AD46" s="645"/>
      <c r="AE46" s="645"/>
      <c r="AF46" s="645"/>
      <c r="AG46" s="645"/>
      <c r="AH46" s="645"/>
      <c r="AI46" s="645"/>
      <c r="AJ46" s="645"/>
      <c r="AK46" s="645"/>
      <c r="AL46" s="645"/>
      <c r="AM46" s="645"/>
      <c r="AN46" s="645"/>
      <c r="AO46" s="645"/>
      <c r="AP46" s="645"/>
      <c r="AQ46" s="645"/>
      <c r="AR46" s="645"/>
      <c r="AS46" s="645"/>
      <c r="AT46" s="645"/>
      <c r="AU46" s="645"/>
      <c r="AV46" s="645"/>
      <c r="AW46" s="645"/>
      <c r="AX46" s="645"/>
      <c r="AY46" s="645"/>
      <c r="AZ46" s="645"/>
      <c r="BA46" s="645"/>
      <c r="BB46" s="645"/>
      <c r="BC46" s="645"/>
      <c r="BD46" s="645"/>
      <c r="BE46" s="645"/>
      <c r="BF46" s="646"/>
    </row>
    <row r="47" spans="1:58" ht="12.75" customHeight="1">
      <c r="A47" s="446">
        <f ca="1">IF(Build!AM512,OFFSET(Build!AI$498,Build!AM512,0),"")</f>
      </c>
      <c r="B47" s="603"/>
      <c r="C47" s="603"/>
      <c r="D47" s="603"/>
      <c r="E47" s="603"/>
      <c r="F47" s="603"/>
      <c r="G47" s="603"/>
      <c r="H47" s="603"/>
      <c r="I47" s="603"/>
      <c r="J47" s="603"/>
      <c r="K47" s="603"/>
      <c r="L47" s="603"/>
      <c r="M47" s="433">
        <f ca="1">IF(Build!AM512,OFFSET(Build!AJ$498,Build!AM512,0),"")</f>
      </c>
      <c r="N47" s="434"/>
      <c r="P47" s="644"/>
      <c r="Q47" s="645"/>
      <c r="R47" s="645"/>
      <c r="S47" s="645"/>
      <c r="T47" s="645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645"/>
      <c r="AS47" s="645"/>
      <c r="AT47" s="645"/>
      <c r="AU47" s="645"/>
      <c r="AV47" s="645"/>
      <c r="AW47" s="645"/>
      <c r="AX47" s="645"/>
      <c r="AY47" s="645"/>
      <c r="AZ47" s="645"/>
      <c r="BA47" s="645"/>
      <c r="BB47" s="645"/>
      <c r="BC47" s="645"/>
      <c r="BD47" s="645"/>
      <c r="BE47" s="645"/>
      <c r="BF47" s="646"/>
    </row>
    <row r="48" spans="1:58" ht="12.75" customHeight="1" thickBot="1">
      <c r="A48" s="609">
        <f ca="1">IF(Build!AM513,OFFSET(Build!AI$498,Build!AM513,0),"")</f>
      </c>
      <c r="B48" s="610"/>
      <c r="C48" s="610"/>
      <c r="D48" s="610"/>
      <c r="E48" s="610"/>
      <c r="F48" s="610"/>
      <c r="G48" s="610"/>
      <c r="H48" s="610"/>
      <c r="I48" s="610"/>
      <c r="J48" s="610"/>
      <c r="K48" s="610"/>
      <c r="L48" s="610"/>
      <c r="M48" s="578">
        <f ca="1">IF(Build!AM513,OFFSET(Build!AJ$498,Build!AM513,0),"")</f>
      </c>
      <c r="N48" s="580"/>
      <c r="P48" s="647"/>
      <c r="Q48" s="648"/>
      <c r="R48" s="648"/>
      <c r="S48" s="648"/>
      <c r="T48" s="648"/>
      <c r="U48" s="648"/>
      <c r="V48" s="648"/>
      <c r="W48" s="648"/>
      <c r="X48" s="648"/>
      <c r="Y48" s="648"/>
      <c r="Z48" s="648"/>
      <c r="AA48" s="648"/>
      <c r="AB48" s="648"/>
      <c r="AC48" s="648"/>
      <c r="AD48" s="648"/>
      <c r="AE48" s="648"/>
      <c r="AF48" s="648"/>
      <c r="AG48" s="648"/>
      <c r="AH48" s="648"/>
      <c r="AI48" s="648"/>
      <c r="AJ48" s="648"/>
      <c r="AK48" s="648"/>
      <c r="AL48" s="648"/>
      <c r="AM48" s="648"/>
      <c r="AN48" s="648"/>
      <c r="AO48" s="648"/>
      <c r="AP48" s="648"/>
      <c r="AQ48" s="648"/>
      <c r="AR48" s="648"/>
      <c r="AS48" s="648"/>
      <c r="AT48" s="648"/>
      <c r="AU48" s="648"/>
      <c r="AV48" s="648"/>
      <c r="AW48" s="648"/>
      <c r="AX48" s="648"/>
      <c r="AY48" s="648"/>
      <c r="AZ48" s="648"/>
      <c r="BA48" s="648"/>
      <c r="BB48" s="648"/>
      <c r="BC48" s="648"/>
      <c r="BD48" s="648"/>
      <c r="BE48" s="648"/>
      <c r="BF48" s="649"/>
    </row>
    <row r="49" ht="12.75" customHeight="1" thickBot="1"/>
    <row r="50" spans="1:58" ht="12.75" customHeight="1">
      <c r="A50" s="448" t="s">
        <v>2535</v>
      </c>
      <c r="B50" s="449"/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50"/>
      <c r="P50" s="639" t="s">
        <v>2435</v>
      </c>
      <c r="Q50" s="640"/>
      <c r="R50" s="640"/>
      <c r="S50" s="640"/>
      <c r="T50" s="640"/>
      <c r="U50" s="640"/>
      <c r="V50" s="640"/>
      <c r="W50" s="640"/>
      <c r="X50" s="640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  <c r="AI50" s="640"/>
      <c r="AJ50" s="640"/>
      <c r="AK50" s="640"/>
      <c r="AL50" s="640"/>
      <c r="AM50" s="640"/>
      <c r="AN50" s="640"/>
      <c r="AO50" s="640"/>
      <c r="AP50" s="640"/>
      <c r="AQ50" s="640"/>
      <c r="AR50" s="640"/>
      <c r="AS50" s="640"/>
      <c r="AT50" s="640"/>
      <c r="AU50" s="640"/>
      <c r="AV50" s="640"/>
      <c r="AW50" s="640"/>
      <c r="AX50" s="640"/>
      <c r="AY50" s="640"/>
      <c r="AZ50" s="640"/>
      <c r="BA50" s="640"/>
      <c r="BB50" s="640"/>
      <c r="BC50" s="640"/>
      <c r="BD50" s="640"/>
      <c r="BE50" s="640"/>
      <c r="BF50" s="641"/>
    </row>
    <row r="51" spans="1:58" ht="12.75" customHeight="1">
      <c r="A51" s="446"/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603"/>
      <c r="N51" s="630"/>
      <c r="P51" s="446">
        <f>IF(Build!B281="","",Build!B281)</f>
      </c>
      <c r="Q51" s="603"/>
      <c r="R51" s="603"/>
      <c r="S51" s="603"/>
      <c r="T51" s="603"/>
      <c r="U51" s="603"/>
      <c r="V51" s="603"/>
      <c r="W51" s="603"/>
      <c r="X51" s="603"/>
      <c r="Y51" s="603"/>
      <c r="Z51" s="603"/>
      <c r="AA51" s="603"/>
      <c r="AB51" s="603"/>
      <c r="AC51" s="603"/>
      <c r="AD51" s="603"/>
      <c r="AE51" s="603"/>
      <c r="AF51" s="603"/>
      <c r="AG51" s="603"/>
      <c r="AH51" s="603"/>
      <c r="AI51" s="603"/>
      <c r="AJ51" s="603"/>
      <c r="AK51" s="603"/>
      <c r="AL51" s="603"/>
      <c r="AM51" s="603"/>
      <c r="AN51" s="603"/>
      <c r="AO51" s="603"/>
      <c r="AP51" s="603"/>
      <c r="AQ51" s="603"/>
      <c r="AR51" s="603"/>
      <c r="AS51" s="603"/>
      <c r="AT51" s="603"/>
      <c r="AU51" s="603"/>
      <c r="AV51" s="603"/>
      <c r="AW51" s="603"/>
      <c r="AX51" s="603"/>
      <c r="AY51" s="603"/>
      <c r="AZ51" s="603"/>
      <c r="BA51" s="603"/>
      <c r="BB51" s="603"/>
      <c r="BC51" s="603"/>
      <c r="BD51" s="603"/>
      <c r="BE51" s="603"/>
      <c r="BF51" s="630"/>
    </row>
    <row r="52" spans="1:58" ht="12.75" customHeight="1">
      <c r="A52" s="446"/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30"/>
      <c r="P52" s="446">
        <f>IF(Build!B282="","",Build!B282)</f>
      </c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3"/>
      <c r="AB52" s="603"/>
      <c r="AC52" s="603"/>
      <c r="AD52" s="603"/>
      <c r="AE52" s="603"/>
      <c r="AF52" s="603"/>
      <c r="AG52" s="603"/>
      <c r="AH52" s="603"/>
      <c r="AI52" s="603"/>
      <c r="AJ52" s="603"/>
      <c r="AK52" s="603"/>
      <c r="AL52" s="603"/>
      <c r="AM52" s="603"/>
      <c r="AN52" s="603"/>
      <c r="AO52" s="603"/>
      <c r="AP52" s="603"/>
      <c r="AQ52" s="603"/>
      <c r="AR52" s="603"/>
      <c r="AS52" s="603"/>
      <c r="AT52" s="603"/>
      <c r="AU52" s="603"/>
      <c r="AV52" s="603"/>
      <c r="AW52" s="603"/>
      <c r="AX52" s="603"/>
      <c r="AY52" s="603"/>
      <c r="AZ52" s="603"/>
      <c r="BA52" s="603"/>
      <c r="BB52" s="603"/>
      <c r="BC52" s="603"/>
      <c r="BD52" s="603"/>
      <c r="BE52" s="603"/>
      <c r="BF52" s="630"/>
    </row>
    <row r="53" spans="1:58" ht="12.75" customHeight="1">
      <c r="A53" s="446"/>
      <c r="B53" s="603"/>
      <c r="C53" s="603"/>
      <c r="D53" s="603"/>
      <c r="E53" s="603"/>
      <c r="F53" s="603"/>
      <c r="G53" s="603"/>
      <c r="H53" s="603"/>
      <c r="I53" s="603"/>
      <c r="J53" s="603"/>
      <c r="K53" s="603"/>
      <c r="L53" s="603"/>
      <c r="M53" s="603"/>
      <c r="N53" s="630"/>
      <c r="P53" s="446">
        <f>IF(Build!B283="","",Build!B283)</f>
      </c>
      <c r="Q53" s="603"/>
      <c r="R53" s="603"/>
      <c r="S53" s="603"/>
      <c r="T53" s="603"/>
      <c r="U53" s="603"/>
      <c r="V53" s="603"/>
      <c r="W53" s="603"/>
      <c r="X53" s="603"/>
      <c r="Y53" s="603"/>
      <c r="Z53" s="603"/>
      <c r="AA53" s="603"/>
      <c r="AB53" s="603"/>
      <c r="AC53" s="603"/>
      <c r="AD53" s="603"/>
      <c r="AE53" s="603"/>
      <c r="AF53" s="603"/>
      <c r="AG53" s="603"/>
      <c r="AH53" s="603"/>
      <c r="AI53" s="603"/>
      <c r="AJ53" s="603"/>
      <c r="AK53" s="603"/>
      <c r="AL53" s="603"/>
      <c r="AM53" s="603"/>
      <c r="AN53" s="603"/>
      <c r="AO53" s="603"/>
      <c r="AP53" s="603"/>
      <c r="AQ53" s="603"/>
      <c r="AR53" s="603"/>
      <c r="AS53" s="603"/>
      <c r="AT53" s="603"/>
      <c r="AU53" s="603"/>
      <c r="AV53" s="603"/>
      <c r="AW53" s="603"/>
      <c r="AX53" s="603"/>
      <c r="AY53" s="603"/>
      <c r="AZ53" s="603"/>
      <c r="BA53" s="603"/>
      <c r="BB53" s="603"/>
      <c r="BC53" s="603"/>
      <c r="BD53" s="603"/>
      <c r="BE53" s="603"/>
      <c r="BF53" s="630"/>
    </row>
    <row r="54" spans="1:58" ht="12.75" customHeight="1">
      <c r="A54" s="446"/>
      <c r="B54" s="603"/>
      <c r="C54" s="603"/>
      <c r="D54" s="603"/>
      <c r="E54" s="603"/>
      <c r="F54" s="603"/>
      <c r="G54" s="603"/>
      <c r="H54" s="603"/>
      <c r="I54" s="603"/>
      <c r="J54" s="603"/>
      <c r="K54" s="603"/>
      <c r="L54" s="603"/>
      <c r="M54" s="603"/>
      <c r="N54" s="630"/>
      <c r="P54" s="446">
        <f>IF(Build!B284="","",Build!B284)</f>
      </c>
      <c r="Q54" s="603"/>
      <c r="R54" s="603"/>
      <c r="S54" s="603"/>
      <c r="T54" s="603"/>
      <c r="U54" s="603"/>
      <c r="V54" s="603"/>
      <c r="W54" s="603"/>
      <c r="X54" s="603"/>
      <c r="Y54" s="603"/>
      <c r="Z54" s="603"/>
      <c r="AA54" s="603"/>
      <c r="AB54" s="603"/>
      <c r="AC54" s="603"/>
      <c r="AD54" s="603"/>
      <c r="AE54" s="603"/>
      <c r="AF54" s="603"/>
      <c r="AG54" s="603"/>
      <c r="AH54" s="603"/>
      <c r="AI54" s="603"/>
      <c r="AJ54" s="603"/>
      <c r="AK54" s="603"/>
      <c r="AL54" s="603"/>
      <c r="AM54" s="603"/>
      <c r="AN54" s="603"/>
      <c r="AO54" s="603"/>
      <c r="AP54" s="603"/>
      <c r="AQ54" s="603"/>
      <c r="AR54" s="603"/>
      <c r="AS54" s="603"/>
      <c r="AT54" s="603"/>
      <c r="AU54" s="603"/>
      <c r="AV54" s="603"/>
      <c r="AW54" s="603"/>
      <c r="AX54" s="603"/>
      <c r="AY54" s="603"/>
      <c r="AZ54" s="603"/>
      <c r="BA54" s="603"/>
      <c r="BB54" s="603"/>
      <c r="BC54" s="603"/>
      <c r="BD54" s="603"/>
      <c r="BE54" s="603"/>
      <c r="BF54" s="630"/>
    </row>
    <row r="55" spans="1:58" ht="12.75" customHeight="1">
      <c r="A55" s="446"/>
      <c r="B55" s="603"/>
      <c r="C55" s="603"/>
      <c r="D55" s="603"/>
      <c r="E55" s="603"/>
      <c r="F55" s="603"/>
      <c r="G55" s="603"/>
      <c r="H55" s="603"/>
      <c r="I55" s="603"/>
      <c r="J55" s="603"/>
      <c r="K55" s="603"/>
      <c r="L55" s="603"/>
      <c r="M55" s="603"/>
      <c r="N55" s="630"/>
      <c r="P55" s="446">
        <f>IF(Build!B285="","",Build!B285)</f>
      </c>
      <c r="Q55" s="603"/>
      <c r="R55" s="603"/>
      <c r="S55" s="603"/>
      <c r="T55" s="603"/>
      <c r="U55" s="603"/>
      <c r="V55" s="603"/>
      <c r="W55" s="603"/>
      <c r="X55" s="603"/>
      <c r="Y55" s="603"/>
      <c r="Z55" s="603"/>
      <c r="AA55" s="603"/>
      <c r="AB55" s="603"/>
      <c r="AC55" s="603"/>
      <c r="AD55" s="603"/>
      <c r="AE55" s="603"/>
      <c r="AF55" s="603"/>
      <c r="AG55" s="603"/>
      <c r="AH55" s="603"/>
      <c r="AI55" s="603"/>
      <c r="AJ55" s="603"/>
      <c r="AK55" s="603"/>
      <c r="AL55" s="603"/>
      <c r="AM55" s="603"/>
      <c r="AN55" s="603"/>
      <c r="AO55" s="603"/>
      <c r="AP55" s="603"/>
      <c r="AQ55" s="603"/>
      <c r="AR55" s="603"/>
      <c r="AS55" s="603"/>
      <c r="AT55" s="603"/>
      <c r="AU55" s="603"/>
      <c r="AV55" s="603"/>
      <c r="AW55" s="603"/>
      <c r="AX55" s="603"/>
      <c r="AY55" s="603"/>
      <c r="AZ55" s="603"/>
      <c r="BA55" s="603"/>
      <c r="BB55" s="603"/>
      <c r="BC55" s="603"/>
      <c r="BD55" s="603"/>
      <c r="BE55" s="603"/>
      <c r="BF55" s="630"/>
    </row>
    <row r="56" spans="1:58" ht="12.75" customHeight="1">
      <c r="A56" s="446"/>
      <c r="B56" s="603"/>
      <c r="C56" s="603"/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30"/>
      <c r="P56" s="446">
        <f>IF(Build!B286="","",Build!B286)</f>
      </c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3"/>
      <c r="AF56" s="603"/>
      <c r="AG56" s="603"/>
      <c r="AH56" s="603"/>
      <c r="AI56" s="603"/>
      <c r="AJ56" s="603"/>
      <c r="AK56" s="603"/>
      <c r="AL56" s="603"/>
      <c r="AM56" s="603"/>
      <c r="AN56" s="603"/>
      <c r="AO56" s="603"/>
      <c r="AP56" s="603"/>
      <c r="AQ56" s="603"/>
      <c r="AR56" s="603"/>
      <c r="AS56" s="603"/>
      <c r="AT56" s="603"/>
      <c r="AU56" s="603"/>
      <c r="AV56" s="603"/>
      <c r="AW56" s="603"/>
      <c r="AX56" s="603"/>
      <c r="AY56" s="603"/>
      <c r="AZ56" s="603"/>
      <c r="BA56" s="603"/>
      <c r="BB56" s="603"/>
      <c r="BC56" s="603"/>
      <c r="BD56" s="603"/>
      <c r="BE56" s="603"/>
      <c r="BF56" s="630"/>
    </row>
    <row r="57" spans="1:58" ht="12.75" customHeight="1" thickBot="1">
      <c r="A57" s="609"/>
      <c r="B57" s="610"/>
      <c r="C57" s="610"/>
      <c r="D57" s="610"/>
      <c r="E57" s="610"/>
      <c r="F57" s="610"/>
      <c r="G57" s="610"/>
      <c r="H57" s="610"/>
      <c r="I57" s="610"/>
      <c r="J57" s="610"/>
      <c r="K57" s="610"/>
      <c r="L57" s="610"/>
      <c r="M57" s="610"/>
      <c r="N57" s="624"/>
      <c r="P57" s="609">
        <f>IF(Build!B287="","",Build!B287)</f>
      </c>
      <c r="Q57" s="610"/>
      <c r="R57" s="610"/>
      <c r="S57" s="610"/>
      <c r="T57" s="610"/>
      <c r="U57" s="610"/>
      <c r="V57" s="610"/>
      <c r="W57" s="610"/>
      <c r="X57" s="610"/>
      <c r="Y57" s="610"/>
      <c r="Z57" s="610"/>
      <c r="AA57" s="610"/>
      <c r="AB57" s="610"/>
      <c r="AC57" s="610"/>
      <c r="AD57" s="610"/>
      <c r="AE57" s="610"/>
      <c r="AF57" s="610"/>
      <c r="AG57" s="610"/>
      <c r="AH57" s="610"/>
      <c r="AI57" s="610"/>
      <c r="AJ57" s="610"/>
      <c r="AK57" s="610"/>
      <c r="AL57" s="610"/>
      <c r="AM57" s="610"/>
      <c r="AN57" s="610"/>
      <c r="AO57" s="610"/>
      <c r="AP57" s="610"/>
      <c r="AQ57" s="610"/>
      <c r="AR57" s="610"/>
      <c r="AS57" s="610"/>
      <c r="AT57" s="610"/>
      <c r="AU57" s="610"/>
      <c r="AV57" s="610"/>
      <c r="AW57" s="610"/>
      <c r="AX57" s="610"/>
      <c r="AY57" s="610"/>
      <c r="AZ57" s="610"/>
      <c r="BA57" s="610"/>
      <c r="BB57" s="610"/>
      <c r="BC57" s="610"/>
      <c r="BD57" s="610"/>
      <c r="BE57" s="610"/>
      <c r="BF57" s="624"/>
    </row>
    <row r="58" spans="1:58" ht="12.75" customHeight="1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</row>
    <row r="59" spans="1:58" ht="12.75" customHeight="1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</row>
    <row r="60" spans="1:58" ht="12.7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</row>
    <row r="61" spans="1:58" ht="12.75" customHeight="1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</row>
  </sheetData>
  <mergeCells count="199">
    <mergeCell ref="AL17:AM17"/>
    <mergeCell ref="U13:AK13"/>
    <mergeCell ref="AL13:AM13"/>
    <mergeCell ref="U14:AK14"/>
    <mergeCell ref="AL14:AM14"/>
    <mergeCell ref="U11:AK11"/>
    <mergeCell ref="AL11:AM11"/>
    <mergeCell ref="U12:AK12"/>
    <mergeCell ref="AL12:AM12"/>
    <mergeCell ref="AL8:AM8"/>
    <mergeCell ref="U9:AK9"/>
    <mergeCell ref="AL9:AM9"/>
    <mergeCell ref="U10:AK10"/>
    <mergeCell ref="AL10:AM10"/>
    <mergeCell ref="AL5:AM5"/>
    <mergeCell ref="U6:AK6"/>
    <mergeCell ref="AL6:AM6"/>
    <mergeCell ref="U7:AK7"/>
    <mergeCell ref="AL7:AM7"/>
    <mergeCell ref="A19:Q19"/>
    <mergeCell ref="R19:S19"/>
    <mergeCell ref="U2:AK2"/>
    <mergeCell ref="A17:Q17"/>
    <mergeCell ref="R17:S17"/>
    <mergeCell ref="A10:Q10"/>
    <mergeCell ref="R10:S10"/>
    <mergeCell ref="A11:Q11"/>
    <mergeCell ref="R11:S11"/>
    <mergeCell ref="U4:AK4"/>
    <mergeCell ref="A14:Q14"/>
    <mergeCell ref="R14:S14"/>
    <mergeCell ref="R9:S9"/>
    <mergeCell ref="R18:S18"/>
    <mergeCell ref="R6:S6"/>
    <mergeCell ref="A7:Q7"/>
    <mergeCell ref="R7:S7"/>
    <mergeCell ref="A8:Q8"/>
    <mergeCell ref="R8:S8"/>
    <mergeCell ref="A4:Q4"/>
    <mergeCell ref="R4:S4"/>
    <mergeCell ref="A5:Q5"/>
    <mergeCell ref="R5:S5"/>
    <mergeCell ref="P34:AF35"/>
    <mergeCell ref="P38:AF42"/>
    <mergeCell ref="A3:Q3"/>
    <mergeCell ref="A6:Q6"/>
    <mergeCell ref="A9:Q9"/>
    <mergeCell ref="A12:Q12"/>
    <mergeCell ref="A15:Q15"/>
    <mergeCell ref="A18:Q18"/>
    <mergeCell ref="U3:AK3"/>
    <mergeCell ref="R3:S3"/>
    <mergeCell ref="BE34:BF34"/>
    <mergeCell ref="BE35:BF35"/>
    <mergeCell ref="BE36:BF36"/>
    <mergeCell ref="BE37:BF37"/>
    <mergeCell ref="AW38:AX38"/>
    <mergeCell ref="AW39:AX39"/>
    <mergeCell ref="AP34:AQ34"/>
    <mergeCell ref="AP35:AQ35"/>
    <mergeCell ref="A51:N51"/>
    <mergeCell ref="M47:N47"/>
    <mergeCell ref="A53:N53"/>
    <mergeCell ref="AP36:AQ36"/>
    <mergeCell ref="AP37:AQ37"/>
    <mergeCell ref="AJ36:AK36"/>
    <mergeCell ref="AJ37:AK37"/>
    <mergeCell ref="AP38:AQ38"/>
    <mergeCell ref="AP39:AQ39"/>
    <mergeCell ref="P37:AF37"/>
    <mergeCell ref="A56:N56"/>
    <mergeCell ref="A57:N57"/>
    <mergeCell ref="A52:N52"/>
    <mergeCell ref="AJ38:AK38"/>
    <mergeCell ref="AJ39:AK39"/>
    <mergeCell ref="A54:N54"/>
    <mergeCell ref="A55:N55"/>
    <mergeCell ref="A46:L46"/>
    <mergeCell ref="A47:L47"/>
    <mergeCell ref="A48:L48"/>
    <mergeCell ref="A42:L42"/>
    <mergeCell ref="AO11:BF11"/>
    <mergeCell ref="AO12:BF12"/>
    <mergeCell ref="AO13:BF13"/>
    <mergeCell ref="AJ34:AK34"/>
    <mergeCell ref="AJ35:AK35"/>
    <mergeCell ref="AW34:AX34"/>
    <mergeCell ref="AW35:AX35"/>
    <mergeCell ref="AW36:AX36"/>
    <mergeCell ref="AW37:AX37"/>
    <mergeCell ref="A38:L38"/>
    <mergeCell ref="A39:L39"/>
    <mergeCell ref="A40:L40"/>
    <mergeCell ref="A41:L41"/>
    <mergeCell ref="A43:L43"/>
    <mergeCell ref="A44:L44"/>
    <mergeCell ref="M44:N44"/>
    <mergeCell ref="A45:L45"/>
    <mergeCell ref="M45:N45"/>
    <mergeCell ref="M34:N34"/>
    <mergeCell ref="M35:N35"/>
    <mergeCell ref="M36:N36"/>
    <mergeCell ref="M37:N37"/>
    <mergeCell ref="A34:L34"/>
    <mergeCell ref="A35:L35"/>
    <mergeCell ref="A36:L36"/>
    <mergeCell ref="A37:L37"/>
    <mergeCell ref="R2:S2"/>
    <mergeCell ref="A2:Q2"/>
    <mergeCell ref="T23:BF23"/>
    <mergeCell ref="P44:BF44"/>
    <mergeCell ref="T21:BF21"/>
    <mergeCell ref="AL18:AM18"/>
    <mergeCell ref="M38:N38"/>
    <mergeCell ref="M39:N39"/>
    <mergeCell ref="A33:L33"/>
    <mergeCell ref="A25:S25"/>
    <mergeCell ref="BA7:BF7"/>
    <mergeCell ref="T29:BF29"/>
    <mergeCell ref="T31:BF31"/>
    <mergeCell ref="AO15:BF15"/>
    <mergeCell ref="AO16:BF16"/>
    <mergeCell ref="AO17:BF17"/>
    <mergeCell ref="AO18:BF18"/>
    <mergeCell ref="T22:BF22"/>
    <mergeCell ref="AU10:AZ10"/>
    <mergeCell ref="U8:AK8"/>
    <mergeCell ref="P50:BF50"/>
    <mergeCell ref="P51:BF51"/>
    <mergeCell ref="AH40:BF42"/>
    <mergeCell ref="P45:BF48"/>
    <mergeCell ref="M40:N40"/>
    <mergeCell ref="M41:N41"/>
    <mergeCell ref="M48:N48"/>
    <mergeCell ref="M46:N46"/>
    <mergeCell ref="M42:N42"/>
    <mergeCell ref="M43:N43"/>
    <mergeCell ref="P56:BF56"/>
    <mergeCell ref="P57:BF57"/>
    <mergeCell ref="P52:BF52"/>
    <mergeCell ref="P53:BF53"/>
    <mergeCell ref="P54:BF54"/>
    <mergeCell ref="P55:BF55"/>
    <mergeCell ref="AO10:AT10"/>
    <mergeCell ref="A21:S21"/>
    <mergeCell ref="A23:S23"/>
    <mergeCell ref="A24:S24"/>
    <mergeCell ref="R15:S15"/>
    <mergeCell ref="A16:Q16"/>
    <mergeCell ref="R16:S16"/>
    <mergeCell ref="R12:S12"/>
    <mergeCell ref="A13:Q13"/>
    <mergeCell ref="R13:S13"/>
    <mergeCell ref="AU7:AZ7"/>
    <mergeCell ref="AO7:AT7"/>
    <mergeCell ref="AO8:AT8"/>
    <mergeCell ref="AO9:AT9"/>
    <mergeCell ref="P33:AF33"/>
    <mergeCell ref="T30:BF30"/>
    <mergeCell ref="T24:BF24"/>
    <mergeCell ref="T25:BF25"/>
    <mergeCell ref="T26:BF26"/>
    <mergeCell ref="T27:BF27"/>
    <mergeCell ref="T28:BF28"/>
    <mergeCell ref="R1:S1"/>
    <mergeCell ref="A1:Q1"/>
    <mergeCell ref="A50:N50"/>
    <mergeCell ref="A30:S30"/>
    <mergeCell ref="A31:S31"/>
    <mergeCell ref="A29:S29"/>
    <mergeCell ref="A26:S26"/>
    <mergeCell ref="A27:S27"/>
    <mergeCell ref="A28:S28"/>
    <mergeCell ref="A22:S22"/>
    <mergeCell ref="AO6:BF6"/>
    <mergeCell ref="AO1:BF1"/>
    <mergeCell ref="U1:AK1"/>
    <mergeCell ref="AL1:AM1"/>
    <mergeCell ref="AX2:BF2"/>
    <mergeCell ref="AX3:BF3"/>
    <mergeCell ref="AL2:AM2"/>
    <mergeCell ref="AL3:AM3"/>
    <mergeCell ref="AL4:AM4"/>
    <mergeCell ref="U5:AK5"/>
    <mergeCell ref="U18:AK18"/>
    <mergeCell ref="U19:AK19"/>
    <mergeCell ref="AL19:AM19"/>
    <mergeCell ref="AO14:BF14"/>
    <mergeCell ref="AO19:BF19"/>
    <mergeCell ref="U15:AK15"/>
    <mergeCell ref="AL15:AM15"/>
    <mergeCell ref="U16:AK16"/>
    <mergeCell ref="AL16:AM16"/>
    <mergeCell ref="U17:AK17"/>
    <mergeCell ref="BA9:BF9"/>
    <mergeCell ref="BA10:BF10"/>
    <mergeCell ref="AU8:AZ8"/>
    <mergeCell ref="AU9:AZ9"/>
    <mergeCell ref="BA8:BF8"/>
  </mergeCells>
  <printOptions horizontalCentered="1" verticalCentered="1"/>
  <pageMargins left="0.393700787401575" right="0.393700787401575" top="0.143700787" bottom="0.143700787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CB42"/>
  <sheetViews>
    <sheetView zoomScale="75" zoomScaleNormal="75" workbookViewId="0" topLeftCell="A1">
      <selection activeCell="A2" sqref="A2"/>
    </sheetView>
  </sheetViews>
  <sheetFormatPr defaultColWidth="9.33203125" defaultRowHeight="12.75" customHeight="1"/>
  <cols>
    <col min="1" max="75" width="1.83203125" style="1" customWidth="1"/>
    <col min="76" max="76" width="1.66796875" style="1" customWidth="1"/>
    <col min="77" max="16384" width="1.83203125" style="1" customWidth="1"/>
  </cols>
  <sheetData>
    <row r="1" spans="27:75" ht="12.75" customHeight="1">
      <c r="AA1" s="24" t="s">
        <v>2436</v>
      </c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03"/>
      <c r="AN1" s="203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199"/>
      <c r="BD1" s="3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5"/>
      <c r="BW1" s="205"/>
    </row>
    <row r="2" spans="27:73" ht="12.75" customHeight="1">
      <c r="AA2" s="3" t="s">
        <v>2437</v>
      </c>
      <c r="AB2" s="7"/>
      <c r="AC2" s="7"/>
      <c r="AD2" s="7"/>
      <c r="AE2" s="7"/>
      <c r="AF2" s="7"/>
      <c r="AG2" s="7"/>
      <c r="AH2" s="621">
        <f>MAX(AI6:AN42)</f>
        <v>0</v>
      </c>
      <c r="AI2" s="625"/>
      <c r="AJ2" s="625"/>
      <c r="AK2" s="625"/>
      <c r="AL2" s="625"/>
      <c r="AM2" s="625"/>
      <c r="AN2" s="206" t="s">
        <v>2439</v>
      </c>
      <c r="AO2" s="206"/>
      <c r="AP2" s="206"/>
      <c r="AQ2" s="206"/>
      <c r="AR2" s="206"/>
      <c r="AS2" s="206"/>
      <c r="AT2" s="206"/>
      <c r="AU2" s="206"/>
      <c r="AV2" s="206"/>
      <c r="AW2" s="625">
        <f>AH2-AH3</f>
        <v>0</v>
      </c>
      <c r="AX2" s="625"/>
      <c r="AY2" s="625"/>
      <c r="AZ2" s="625"/>
      <c r="BA2" s="625"/>
      <c r="BB2" s="62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</row>
    <row r="3" spans="27:73" ht="12.75" customHeight="1" thickBot="1">
      <c r="AA3" s="4" t="s">
        <v>2438</v>
      </c>
      <c r="AB3" s="10"/>
      <c r="AC3" s="10"/>
      <c r="AD3" s="10"/>
      <c r="AE3" s="10"/>
      <c r="AF3" s="10"/>
      <c r="AG3" s="10"/>
      <c r="AH3" s="670">
        <f>MAX(BW6:CB42)</f>
        <v>0</v>
      </c>
      <c r="AI3" s="670"/>
      <c r="AJ3" s="670"/>
      <c r="AK3" s="670"/>
      <c r="AL3" s="670"/>
      <c r="AM3" s="670"/>
      <c r="AN3" s="207" t="s">
        <v>2531</v>
      </c>
      <c r="AO3" s="207"/>
      <c r="AP3" s="207"/>
      <c r="AQ3" s="207"/>
      <c r="AR3" s="207"/>
      <c r="AS3" s="207"/>
      <c r="AT3" s="207"/>
      <c r="AU3" s="207"/>
      <c r="AV3" s="207"/>
      <c r="AW3" s="670" t="str">
        <f>"Level "&amp;TRUNC(IF(AH2&lt;10000,0,LN(AH2/10000)/LN(4)+1))</f>
        <v>Level 0</v>
      </c>
      <c r="AX3" s="670"/>
      <c r="AY3" s="670"/>
      <c r="AZ3" s="670"/>
      <c r="BA3" s="670"/>
      <c r="BB3" s="671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ht="12.75" customHeight="1" thickBot="1"/>
    <row r="5" spans="1:80" ht="12.75" customHeight="1">
      <c r="A5" s="666" t="s">
        <v>2440</v>
      </c>
      <c r="B5" s="576"/>
      <c r="C5" s="576"/>
      <c r="D5" s="576"/>
      <c r="E5" s="449" t="s">
        <v>2538</v>
      </c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576" t="s">
        <v>2442</v>
      </c>
      <c r="AE5" s="576"/>
      <c r="AF5" s="576"/>
      <c r="AG5" s="576"/>
      <c r="AH5" s="576"/>
      <c r="AI5" s="576" t="s">
        <v>2431</v>
      </c>
      <c r="AJ5" s="576"/>
      <c r="AK5" s="576"/>
      <c r="AL5" s="576"/>
      <c r="AM5" s="576"/>
      <c r="AN5" s="577"/>
      <c r="AO5" s="666" t="s">
        <v>2440</v>
      </c>
      <c r="AP5" s="576"/>
      <c r="AQ5" s="576"/>
      <c r="AR5" s="576"/>
      <c r="AS5" s="449" t="s">
        <v>2539</v>
      </c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9"/>
      <c r="BR5" s="576" t="s">
        <v>2442</v>
      </c>
      <c r="BS5" s="576"/>
      <c r="BT5" s="576"/>
      <c r="BU5" s="576"/>
      <c r="BV5" s="576"/>
      <c r="BW5" s="667" t="s">
        <v>2431</v>
      </c>
      <c r="BX5" s="667"/>
      <c r="BY5" s="667"/>
      <c r="BZ5" s="667"/>
      <c r="CA5" s="667"/>
      <c r="CB5" s="668"/>
    </row>
    <row r="6" spans="1:80" ht="12.75" customHeight="1">
      <c r="A6" s="674">
        <f>IF(Build!B296="","",Build!B296)</f>
      </c>
      <c r="B6" s="669"/>
      <c r="C6" s="669"/>
      <c r="D6" s="669"/>
      <c r="E6" s="603">
        <f>IF(Build!C296="","",Build!C296)</f>
      </c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69">
        <f>IF(Build!J296=0,"",Build!J296)</f>
      </c>
      <c r="AE6" s="669"/>
      <c r="AF6" s="669"/>
      <c r="AG6" s="669"/>
      <c r="AH6" s="669"/>
      <c r="AI6" s="433">
        <f>IF(Build!K296=0,"",Build!K296)</f>
      </c>
      <c r="AJ6" s="433"/>
      <c r="AK6" s="433"/>
      <c r="AL6" s="433"/>
      <c r="AM6" s="433"/>
      <c r="AN6" s="434"/>
      <c r="AO6" s="674">
        <f>IF(Build!M296="","",Build!M296)</f>
      </c>
      <c r="AP6" s="669"/>
      <c r="AQ6" s="669"/>
      <c r="AR6" s="669"/>
      <c r="AS6" s="603">
        <f>IF(Build!N296="","",Build!N296)</f>
      </c>
      <c r="AT6" s="603"/>
      <c r="AU6" s="603"/>
      <c r="AV6" s="603"/>
      <c r="AW6" s="603"/>
      <c r="AX6" s="603"/>
      <c r="AY6" s="603"/>
      <c r="AZ6" s="603"/>
      <c r="BA6" s="603"/>
      <c r="BB6" s="603"/>
      <c r="BC6" s="603"/>
      <c r="BD6" s="603"/>
      <c r="BE6" s="603"/>
      <c r="BF6" s="603"/>
      <c r="BG6" s="603"/>
      <c r="BH6" s="603"/>
      <c r="BI6" s="603"/>
      <c r="BJ6" s="603"/>
      <c r="BK6" s="603"/>
      <c r="BL6" s="603"/>
      <c r="BM6" s="603"/>
      <c r="BN6" s="603"/>
      <c r="BO6" s="603"/>
      <c r="BP6" s="603"/>
      <c r="BQ6" s="603"/>
      <c r="BR6" s="669">
        <f>IF(Build!U296=0,"",Build!U296)</f>
      </c>
      <c r="BS6" s="669"/>
      <c r="BT6" s="669"/>
      <c r="BU6" s="669"/>
      <c r="BV6" s="669"/>
      <c r="BW6" s="433">
        <f>IF(Build!V296=0,"",Build!V296)</f>
      </c>
      <c r="BX6" s="433"/>
      <c r="BY6" s="433"/>
      <c r="BZ6" s="433"/>
      <c r="CA6" s="433"/>
      <c r="CB6" s="434"/>
    </row>
    <row r="7" spans="1:80" ht="12.75" customHeight="1">
      <c r="A7" s="674">
        <f>IF(Build!B297="","",Build!B297)</f>
      </c>
      <c r="B7" s="669"/>
      <c r="C7" s="669"/>
      <c r="D7" s="669"/>
      <c r="E7" s="603">
        <f>IF(Build!C297="","",Build!C297)</f>
      </c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69">
        <f>IF(Build!J297=0,"",Build!J297)</f>
      </c>
      <c r="AE7" s="669"/>
      <c r="AF7" s="669"/>
      <c r="AG7" s="669"/>
      <c r="AH7" s="669"/>
      <c r="AI7" s="433">
        <f>IF(Build!K297=0,"",Build!K297)</f>
      </c>
      <c r="AJ7" s="433"/>
      <c r="AK7" s="433"/>
      <c r="AL7" s="433"/>
      <c r="AM7" s="433"/>
      <c r="AN7" s="434"/>
      <c r="AO7" s="674">
        <f>IF(Build!M297="","",Build!M297)</f>
      </c>
      <c r="AP7" s="669"/>
      <c r="AQ7" s="669"/>
      <c r="AR7" s="669"/>
      <c r="AS7" s="603">
        <f>IF(Build!N297="","",Build!N297)</f>
      </c>
      <c r="AT7" s="603"/>
      <c r="AU7" s="603"/>
      <c r="AV7" s="603"/>
      <c r="AW7" s="603"/>
      <c r="AX7" s="603"/>
      <c r="AY7" s="603"/>
      <c r="AZ7" s="603"/>
      <c r="BA7" s="603"/>
      <c r="BB7" s="603"/>
      <c r="BC7" s="603"/>
      <c r="BD7" s="603"/>
      <c r="BE7" s="603"/>
      <c r="BF7" s="603"/>
      <c r="BG7" s="603"/>
      <c r="BH7" s="603"/>
      <c r="BI7" s="603"/>
      <c r="BJ7" s="603"/>
      <c r="BK7" s="603"/>
      <c r="BL7" s="603"/>
      <c r="BM7" s="603"/>
      <c r="BN7" s="603"/>
      <c r="BO7" s="603"/>
      <c r="BP7" s="603"/>
      <c r="BQ7" s="603"/>
      <c r="BR7" s="669">
        <f>IF(Build!U297=0,"",Build!U297)</f>
      </c>
      <c r="BS7" s="669"/>
      <c r="BT7" s="669"/>
      <c r="BU7" s="669"/>
      <c r="BV7" s="669"/>
      <c r="BW7" s="433">
        <f>IF(Build!V297=0,"",Build!V297)</f>
      </c>
      <c r="BX7" s="433"/>
      <c r="BY7" s="433"/>
      <c r="BZ7" s="433"/>
      <c r="CA7" s="433"/>
      <c r="CB7" s="434"/>
    </row>
    <row r="8" spans="1:80" ht="12.75" customHeight="1">
      <c r="A8" s="674">
        <f>IF(Build!B298="","",Build!B298)</f>
      </c>
      <c r="B8" s="669"/>
      <c r="C8" s="669"/>
      <c r="D8" s="669"/>
      <c r="E8" s="603">
        <f>IF(Build!C298="","",Build!C298)</f>
      </c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69">
        <f>IF(Build!J298=0,"",Build!J298)</f>
      </c>
      <c r="AE8" s="669"/>
      <c r="AF8" s="669"/>
      <c r="AG8" s="669"/>
      <c r="AH8" s="669"/>
      <c r="AI8" s="433">
        <f>IF(Build!K298=0,"",Build!K298)</f>
      </c>
      <c r="AJ8" s="433"/>
      <c r="AK8" s="433"/>
      <c r="AL8" s="433"/>
      <c r="AM8" s="433"/>
      <c r="AN8" s="434"/>
      <c r="AO8" s="674">
        <f>IF(Build!M298="","",Build!M298)</f>
      </c>
      <c r="AP8" s="669"/>
      <c r="AQ8" s="669"/>
      <c r="AR8" s="669"/>
      <c r="AS8" s="603">
        <f>IF(Build!N298="","",Build!N298)</f>
      </c>
      <c r="AT8" s="603"/>
      <c r="AU8" s="603"/>
      <c r="AV8" s="603"/>
      <c r="AW8" s="603"/>
      <c r="AX8" s="603"/>
      <c r="AY8" s="603"/>
      <c r="AZ8" s="603"/>
      <c r="BA8" s="603"/>
      <c r="BB8" s="603"/>
      <c r="BC8" s="603"/>
      <c r="BD8" s="603"/>
      <c r="BE8" s="603"/>
      <c r="BF8" s="603"/>
      <c r="BG8" s="603"/>
      <c r="BH8" s="603"/>
      <c r="BI8" s="603"/>
      <c r="BJ8" s="603"/>
      <c r="BK8" s="603"/>
      <c r="BL8" s="603"/>
      <c r="BM8" s="603"/>
      <c r="BN8" s="603"/>
      <c r="BO8" s="603"/>
      <c r="BP8" s="603"/>
      <c r="BQ8" s="603"/>
      <c r="BR8" s="669">
        <f>IF(Build!U298=0,"",Build!U298)</f>
      </c>
      <c r="BS8" s="669"/>
      <c r="BT8" s="669"/>
      <c r="BU8" s="669"/>
      <c r="BV8" s="669"/>
      <c r="BW8" s="433">
        <f>IF(Build!V298=0,"",Build!V298)</f>
      </c>
      <c r="BX8" s="433"/>
      <c r="BY8" s="433"/>
      <c r="BZ8" s="433"/>
      <c r="CA8" s="433"/>
      <c r="CB8" s="434"/>
    </row>
    <row r="9" spans="1:80" ht="12.75" customHeight="1">
      <c r="A9" s="674">
        <f>IF(Build!B299="","",Build!B299)</f>
      </c>
      <c r="B9" s="669"/>
      <c r="C9" s="669"/>
      <c r="D9" s="669"/>
      <c r="E9" s="603">
        <f>IF(Build!C299="","",Build!C299)</f>
      </c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3"/>
      <c r="U9" s="603"/>
      <c r="V9" s="603"/>
      <c r="W9" s="603"/>
      <c r="X9" s="603"/>
      <c r="Y9" s="603"/>
      <c r="Z9" s="603"/>
      <c r="AA9" s="603"/>
      <c r="AB9" s="603"/>
      <c r="AC9" s="603"/>
      <c r="AD9" s="669">
        <f>IF(Build!J299=0,"",Build!J299)</f>
      </c>
      <c r="AE9" s="669"/>
      <c r="AF9" s="669"/>
      <c r="AG9" s="669"/>
      <c r="AH9" s="669"/>
      <c r="AI9" s="433">
        <f>IF(Build!K299=0,"",Build!K299)</f>
      </c>
      <c r="AJ9" s="433"/>
      <c r="AK9" s="433"/>
      <c r="AL9" s="433"/>
      <c r="AM9" s="433"/>
      <c r="AN9" s="434"/>
      <c r="AO9" s="674">
        <f>IF(Build!M299="","",Build!M299)</f>
      </c>
      <c r="AP9" s="669"/>
      <c r="AQ9" s="669"/>
      <c r="AR9" s="669"/>
      <c r="AS9" s="603">
        <f>IF(Build!N299="","",Build!N299)</f>
      </c>
      <c r="AT9" s="603"/>
      <c r="AU9" s="603"/>
      <c r="AV9" s="603"/>
      <c r="AW9" s="603"/>
      <c r="AX9" s="603"/>
      <c r="AY9" s="603"/>
      <c r="AZ9" s="603"/>
      <c r="BA9" s="603"/>
      <c r="BB9" s="603"/>
      <c r="BC9" s="603"/>
      <c r="BD9" s="603"/>
      <c r="BE9" s="603"/>
      <c r="BF9" s="603"/>
      <c r="BG9" s="603"/>
      <c r="BH9" s="603"/>
      <c r="BI9" s="603"/>
      <c r="BJ9" s="603"/>
      <c r="BK9" s="603"/>
      <c r="BL9" s="603"/>
      <c r="BM9" s="603"/>
      <c r="BN9" s="603"/>
      <c r="BO9" s="603"/>
      <c r="BP9" s="603"/>
      <c r="BQ9" s="603"/>
      <c r="BR9" s="669">
        <f>IF(Build!U299=0,"",Build!U299)</f>
      </c>
      <c r="BS9" s="669"/>
      <c r="BT9" s="669"/>
      <c r="BU9" s="669"/>
      <c r="BV9" s="669"/>
      <c r="BW9" s="433">
        <f>IF(Build!V299=0,"",Build!V299)</f>
      </c>
      <c r="BX9" s="433"/>
      <c r="BY9" s="433"/>
      <c r="BZ9" s="433"/>
      <c r="CA9" s="433"/>
      <c r="CB9" s="434"/>
    </row>
    <row r="10" spans="1:80" ht="12.75" customHeight="1">
      <c r="A10" s="674">
        <f>IF(Build!B300="","",Build!B300)</f>
      </c>
      <c r="B10" s="669"/>
      <c r="C10" s="669"/>
      <c r="D10" s="669"/>
      <c r="E10" s="603">
        <f>IF(Build!C300="","",Build!C300)</f>
      </c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69">
        <f>IF(Build!J300=0,"",Build!J300)</f>
      </c>
      <c r="AE10" s="669"/>
      <c r="AF10" s="669"/>
      <c r="AG10" s="669"/>
      <c r="AH10" s="669"/>
      <c r="AI10" s="433">
        <f>IF(Build!K300=0,"",Build!K300)</f>
      </c>
      <c r="AJ10" s="433"/>
      <c r="AK10" s="433"/>
      <c r="AL10" s="433"/>
      <c r="AM10" s="433"/>
      <c r="AN10" s="434"/>
      <c r="AO10" s="674">
        <f>IF(Build!M300="","",Build!M300)</f>
      </c>
      <c r="AP10" s="669"/>
      <c r="AQ10" s="669"/>
      <c r="AR10" s="669"/>
      <c r="AS10" s="603">
        <f>IF(Build!N300="","",Build!N300)</f>
      </c>
      <c r="AT10" s="603"/>
      <c r="AU10" s="603"/>
      <c r="AV10" s="603"/>
      <c r="AW10" s="603"/>
      <c r="AX10" s="603"/>
      <c r="AY10" s="603"/>
      <c r="AZ10" s="603"/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3"/>
      <c r="BN10" s="603"/>
      <c r="BO10" s="603"/>
      <c r="BP10" s="603"/>
      <c r="BQ10" s="603"/>
      <c r="BR10" s="669">
        <f>IF(Build!U300=0,"",Build!U300)</f>
      </c>
      <c r="BS10" s="669"/>
      <c r="BT10" s="669"/>
      <c r="BU10" s="669"/>
      <c r="BV10" s="669"/>
      <c r="BW10" s="433">
        <f>IF(Build!V300=0,"",Build!V300)</f>
      </c>
      <c r="BX10" s="433"/>
      <c r="BY10" s="433"/>
      <c r="BZ10" s="433"/>
      <c r="CA10" s="433"/>
      <c r="CB10" s="434"/>
    </row>
    <row r="11" spans="1:80" ht="12.75" customHeight="1">
      <c r="A11" s="674">
        <f>IF(Build!B301="","",Build!B301)</f>
      </c>
      <c r="B11" s="669"/>
      <c r="C11" s="669"/>
      <c r="D11" s="669"/>
      <c r="E11" s="603">
        <f>IF(Build!C301="","",Build!C301)</f>
      </c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69">
        <f>IF(Build!J301=0,"",Build!J301)</f>
      </c>
      <c r="AE11" s="669"/>
      <c r="AF11" s="669"/>
      <c r="AG11" s="669"/>
      <c r="AH11" s="669"/>
      <c r="AI11" s="433">
        <f>IF(Build!K301=0,"",Build!K301)</f>
      </c>
      <c r="AJ11" s="433"/>
      <c r="AK11" s="433"/>
      <c r="AL11" s="433"/>
      <c r="AM11" s="433"/>
      <c r="AN11" s="434"/>
      <c r="AO11" s="674">
        <f>IF(Build!M301="","",Build!M301)</f>
      </c>
      <c r="AP11" s="669"/>
      <c r="AQ11" s="669"/>
      <c r="AR11" s="669"/>
      <c r="AS11" s="603">
        <f>IF(Build!N301="","",Build!N301)</f>
      </c>
      <c r="AT11" s="603"/>
      <c r="AU11" s="603"/>
      <c r="AV11" s="603"/>
      <c r="AW11" s="603"/>
      <c r="AX11" s="603"/>
      <c r="AY11" s="603"/>
      <c r="AZ11" s="603"/>
      <c r="BA11" s="603"/>
      <c r="BB11" s="603"/>
      <c r="BC11" s="603"/>
      <c r="BD11" s="603"/>
      <c r="BE11" s="603"/>
      <c r="BF11" s="603"/>
      <c r="BG11" s="603"/>
      <c r="BH11" s="603"/>
      <c r="BI11" s="603"/>
      <c r="BJ11" s="603"/>
      <c r="BK11" s="603"/>
      <c r="BL11" s="603"/>
      <c r="BM11" s="603"/>
      <c r="BN11" s="603"/>
      <c r="BO11" s="603"/>
      <c r="BP11" s="603"/>
      <c r="BQ11" s="603"/>
      <c r="BR11" s="669">
        <f>IF(Build!U301=0,"",Build!U301)</f>
      </c>
      <c r="BS11" s="669"/>
      <c r="BT11" s="669"/>
      <c r="BU11" s="669"/>
      <c r="BV11" s="669"/>
      <c r="BW11" s="433">
        <f>IF(Build!V301=0,"",Build!V301)</f>
      </c>
      <c r="BX11" s="433"/>
      <c r="BY11" s="433"/>
      <c r="BZ11" s="433"/>
      <c r="CA11" s="433"/>
      <c r="CB11" s="434"/>
    </row>
    <row r="12" spans="1:80" ht="12.75" customHeight="1">
      <c r="A12" s="674">
        <f>IF(Build!B302="","",Build!B302)</f>
      </c>
      <c r="B12" s="669"/>
      <c r="C12" s="669"/>
      <c r="D12" s="669"/>
      <c r="E12" s="603">
        <f>IF(Build!C302="","",Build!C302)</f>
      </c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69">
        <f>IF(Build!J302=0,"",Build!J302)</f>
      </c>
      <c r="AE12" s="669"/>
      <c r="AF12" s="669"/>
      <c r="AG12" s="669"/>
      <c r="AH12" s="669"/>
      <c r="AI12" s="433">
        <f>IF(Build!K302=0,"",Build!K302)</f>
      </c>
      <c r="AJ12" s="433"/>
      <c r="AK12" s="433"/>
      <c r="AL12" s="433"/>
      <c r="AM12" s="433"/>
      <c r="AN12" s="434"/>
      <c r="AO12" s="674">
        <f>IF(Build!M302="","",Build!M302)</f>
      </c>
      <c r="AP12" s="669"/>
      <c r="AQ12" s="669"/>
      <c r="AR12" s="669"/>
      <c r="AS12" s="603">
        <f>IF(Build!N302="","",Build!N302)</f>
      </c>
      <c r="AT12" s="603"/>
      <c r="AU12" s="603"/>
      <c r="AV12" s="603"/>
      <c r="AW12" s="603"/>
      <c r="AX12" s="603"/>
      <c r="AY12" s="603"/>
      <c r="AZ12" s="603"/>
      <c r="BA12" s="603"/>
      <c r="BB12" s="603"/>
      <c r="BC12" s="603"/>
      <c r="BD12" s="603"/>
      <c r="BE12" s="603"/>
      <c r="BF12" s="603"/>
      <c r="BG12" s="603"/>
      <c r="BH12" s="603"/>
      <c r="BI12" s="603"/>
      <c r="BJ12" s="603"/>
      <c r="BK12" s="603"/>
      <c r="BL12" s="603"/>
      <c r="BM12" s="603"/>
      <c r="BN12" s="603"/>
      <c r="BO12" s="603"/>
      <c r="BP12" s="603"/>
      <c r="BQ12" s="603"/>
      <c r="BR12" s="669">
        <f>IF(Build!U302=0,"",Build!U302)</f>
      </c>
      <c r="BS12" s="669"/>
      <c r="BT12" s="669"/>
      <c r="BU12" s="669"/>
      <c r="BV12" s="669"/>
      <c r="BW12" s="433">
        <f>IF(Build!V302=0,"",Build!V302)</f>
      </c>
      <c r="BX12" s="433"/>
      <c r="BY12" s="433"/>
      <c r="BZ12" s="433"/>
      <c r="CA12" s="433"/>
      <c r="CB12" s="434"/>
    </row>
    <row r="13" spans="1:80" ht="12.75" customHeight="1">
      <c r="A13" s="674">
        <f>IF(Build!B303="","",Build!B303)</f>
      </c>
      <c r="B13" s="669"/>
      <c r="C13" s="669"/>
      <c r="D13" s="669"/>
      <c r="E13" s="603">
        <f>IF(Build!C303="","",Build!C303)</f>
      </c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603"/>
      <c r="AD13" s="669">
        <f>IF(Build!J303=0,"",Build!J303)</f>
      </c>
      <c r="AE13" s="669"/>
      <c r="AF13" s="669"/>
      <c r="AG13" s="669"/>
      <c r="AH13" s="669"/>
      <c r="AI13" s="433">
        <f>IF(Build!K303=0,"",Build!K303)</f>
      </c>
      <c r="AJ13" s="433"/>
      <c r="AK13" s="433"/>
      <c r="AL13" s="433"/>
      <c r="AM13" s="433"/>
      <c r="AN13" s="434"/>
      <c r="AO13" s="674">
        <f>IF(Build!M303="","",Build!M303)</f>
      </c>
      <c r="AP13" s="669"/>
      <c r="AQ13" s="669"/>
      <c r="AR13" s="669"/>
      <c r="AS13" s="603">
        <f>IF(Build!N303="","",Build!N303)</f>
      </c>
      <c r="AT13" s="603"/>
      <c r="AU13" s="603"/>
      <c r="AV13" s="603"/>
      <c r="AW13" s="603"/>
      <c r="AX13" s="603"/>
      <c r="AY13" s="603"/>
      <c r="AZ13" s="603"/>
      <c r="BA13" s="603"/>
      <c r="BB13" s="603"/>
      <c r="BC13" s="603"/>
      <c r="BD13" s="603"/>
      <c r="BE13" s="603"/>
      <c r="BF13" s="603"/>
      <c r="BG13" s="603"/>
      <c r="BH13" s="603"/>
      <c r="BI13" s="603"/>
      <c r="BJ13" s="603"/>
      <c r="BK13" s="603"/>
      <c r="BL13" s="603"/>
      <c r="BM13" s="603"/>
      <c r="BN13" s="603"/>
      <c r="BO13" s="603"/>
      <c r="BP13" s="603"/>
      <c r="BQ13" s="603"/>
      <c r="BR13" s="669">
        <f>IF(Build!U303=0,"",Build!U303)</f>
      </c>
      <c r="BS13" s="669"/>
      <c r="BT13" s="669"/>
      <c r="BU13" s="669"/>
      <c r="BV13" s="669"/>
      <c r="BW13" s="433">
        <f>IF(Build!V303=0,"",Build!V303)</f>
      </c>
      <c r="BX13" s="433"/>
      <c r="BY13" s="433"/>
      <c r="BZ13" s="433"/>
      <c r="CA13" s="433"/>
      <c r="CB13" s="434"/>
    </row>
    <row r="14" spans="1:80" ht="12.75" customHeight="1">
      <c r="A14" s="674">
        <f>IF(Build!B304="","",Build!B304)</f>
      </c>
      <c r="B14" s="669"/>
      <c r="C14" s="669"/>
      <c r="D14" s="669"/>
      <c r="E14" s="603">
        <f>IF(Build!C304="","",Build!C304)</f>
      </c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3"/>
      <c r="AB14" s="603"/>
      <c r="AC14" s="603"/>
      <c r="AD14" s="669">
        <f>IF(Build!J304=0,"",Build!J304)</f>
      </c>
      <c r="AE14" s="669"/>
      <c r="AF14" s="669"/>
      <c r="AG14" s="669"/>
      <c r="AH14" s="669"/>
      <c r="AI14" s="433">
        <f>IF(Build!K304=0,"",Build!K304)</f>
      </c>
      <c r="AJ14" s="433"/>
      <c r="AK14" s="433"/>
      <c r="AL14" s="433"/>
      <c r="AM14" s="433"/>
      <c r="AN14" s="434"/>
      <c r="AO14" s="674">
        <f>IF(Build!M304="","",Build!M304)</f>
      </c>
      <c r="AP14" s="669"/>
      <c r="AQ14" s="669"/>
      <c r="AR14" s="669"/>
      <c r="AS14" s="603">
        <f>IF(Build!N304="","",Build!N304)</f>
      </c>
      <c r="AT14" s="603"/>
      <c r="AU14" s="603"/>
      <c r="AV14" s="603"/>
      <c r="AW14" s="603"/>
      <c r="AX14" s="603"/>
      <c r="AY14" s="603"/>
      <c r="AZ14" s="603"/>
      <c r="BA14" s="603"/>
      <c r="BB14" s="603"/>
      <c r="BC14" s="603"/>
      <c r="BD14" s="603"/>
      <c r="BE14" s="603"/>
      <c r="BF14" s="603"/>
      <c r="BG14" s="603"/>
      <c r="BH14" s="603"/>
      <c r="BI14" s="603"/>
      <c r="BJ14" s="603"/>
      <c r="BK14" s="603"/>
      <c r="BL14" s="603"/>
      <c r="BM14" s="603"/>
      <c r="BN14" s="603"/>
      <c r="BO14" s="603"/>
      <c r="BP14" s="603"/>
      <c r="BQ14" s="603"/>
      <c r="BR14" s="669">
        <f>IF(Build!U304=0,"",Build!U304)</f>
      </c>
      <c r="BS14" s="669"/>
      <c r="BT14" s="669"/>
      <c r="BU14" s="669"/>
      <c r="BV14" s="669"/>
      <c r="BW14" s="433">
        <f>IF(Build!V304=0,"",Build!V304)</f>
      </c>
      <c r="BX14" s="433"/>
      <c r="BY14" s="433"/>
      <c r="BZ14" s="433"/>
      <c r="CA14" s="433"/>
      <c r="CB14" s="434"/>
    </row>
    <row r="15" spans="1:80" ht="12.75" customHeight="1">
      <c r="A15" s="674">
        <f>IF(Build!B305="","",Build!B305)</f>
      </c>
      <c r="B15" s="669"/>
      <c r="C15" s="669"/>
      <c r="D15" s="669"/>
      <c r="E15" s="603">
        <f>IF(Build!C305="","",Build!C305)</f>
      </c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69">
        <f>IF(Build!J305=0,"",Build!J305)</f>
      </c>
      <c r="AE15" s="669"/>
      <c r="AF15" s="669"/>
      <c r="AG15" s="669"/>
      <c r="AH15" s="669"/>
      <c r="AI15" s="433">
        <f>IF(Build!K305=0,"",Build!K305)</f>
      </c>
      <c r="AJ15" s="433"/>
      <c r="AK15" s="433"/>
      <c r="AL15" s="433"/>
      <c r="AM15" s="433"/>
      <c r="AN15" s="434"/>
      <c r="AO15" s="674">
        <f>IF(Build!M305="","",Build!M305)</f>
      </c>
      <c r="AP15" s="669"/>
      <c r="AQ15" s="669"/>
      <c r="AR15" s="669"/>
      <c r="AS15" s="603">
        <f>IF(Build!N305="","",Build!N305)</f>
      </c>
      <c r="AT15" s="603"/>
      <c r="AU15" s="603"/>
      <c r="AV15" s="603"/>
      <c r="AW15" s="603"/>
      <c r="AX15" s="603"/>
      <c r="AY15" s="603"/>
      <c r="AZ15" s="603"/>
      <c r="BA15" s="603"/>
      <c r="BB15" s="603"/>
      <c r="BC15" s="603"/>
      <c r="BD15" s="603"/>
      <c r="BE15" s="603"/>
      <c r="BF15" s="603"/>
      <c r="BG15" s="603"/>
      <c r="BH15" s="603"/>
      <c r="BI15" s="603"/>
      <c r="BJ15" s="603"/>
      <c r="BK15" s="603"/>
      <c r="BL15" s="603"/>
      <c r="BM15" s="603"/>
      <c r="BN15" s="603"/>
      <c r="BO15" s="603"/>
      <c r="BP15" s="603"/>
      <c r="BQ15" s="603"/>
      <c r="BR15" s="669">
        <f>IF(Build!U305=0,"",Build!U305)</f>
      </c>
      <c r="BS15" s="669"/>
      <c r="BT15" s="669"/>
      <c r="BU15" s="669"/>
      <c r="BV15" s="669"/>
      <c r="BW15" s="433">
        <f>IF(Build!V305=0,"",Build!V305)</f>
      </c>
      <c r="BX15" s="433"/>
      <c r="BY15" s="433"/>
      <c r="BZ15" s="433"/>
      <c r="CA15" s="433"/>
      <c r="CB15" s="434"/>
    </row>
    <row r="16" spans="1:80" ht="12.75" customHeight="1">
      <c r="A16" s="674">
        <f>IF(Build!B306="","",Build!B306)</f>
      </c>
      <c r="B16" s="669"/>
      <c r="C16" s="669"/>
      <c r="D16" s="669"/>
      <c r="E16" s="603">
        <f>IF(Build!C306="","",Build!C306)</f>
      </c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3"/>
      <c r="V16" s="603"/>
      <c r="W16" s="603"/>
      <c r="X16" s="603"/>
      <c r="Y16" s="603"/>
      <c r="Z16" s="603"/>
      <c r="AA16" s="603"/>
      <c r="AB16" s="603"/>
      <c r="AC16" s="603"/>
      <c r="AD16" s="669">
        <f>IF(Build!J306=0,"",Build!J306)</f>
      </c>
      <c r="AE16" s="669"/>
      <c r="AF16" s="669"/>
      <c r="AG16" s="669"/>
      <c r="AH16" s="669"/>
      <c r="AI16" s="433">
        <f>IF(Build!K306=0,"",Build!K306)</f>
      </c>
      <c r="AJ16" s="433"/>
      <c r="AK16" s="433"/>
      <c r="AL16" s="433"/>
      <c r="AM16" s="433"/>
      <c r="AN16" s="434"/>
      <c r="AO16" s="674">
        <f>IF(Build!M306="","",Build!M306)</f>
      </c>
      <c r="AP16" s="669"/>
      <c r="AQ16" s="669"/>
      <c r="AR16" s="669"/>
      <c r="AS16" s="603">
        <f>IF(Build!N306="","",Build!N306)</f>
      </c>
      <c r="AT16" s="603"/>
      <c r="AU16" s="603"/>
      <c r="AV16" s="603"/>
      <c r="AW16" s="603"/>
      <c r="AX16" s="603"/>
      <c r="AY16" s="603"/>
      <c r="AZ16" s="603"/>
      <c r="BA16" s="603"/>
      <c r="BB16" s="603"/>
      <c r="BC16" s="603"/>
      <c r="BD16" s="603"/>
      <c r="BE16" s="603"/>
      <c r="BF16" s="603"/>
      <c r="BG16" s="603"/>
      <c r="BH16" s="603"/>
      <c r="BI16" s="603"/>
      <c r="BJ16" s="603"/>
      <c r="BK16" s="603"/>
      <c r="BL16" s="603"/>
      <c r="BM16" s="603"/>
      <c r="BN16" s="603"/>
      <c r="BO16" s="603"/>
      <c r="BP16" s="603"/>
      <c r="BQ16" s="603"/>
      <c r="BR16" s="669">
        <f>IF(Build!U306=0,"",Build!U306)</f>
      </c>
      <c r="BS16" s="669"/>
      <c r="BT16" s="669"/>
      <c r="BU16" s="669"/>
      <c r="BV16" s="669"/>
      <c r="BW16" s="433">
        <f>IF(Build!V306=0,"",Build!V306)</f>
      </c>
      <c r="BX16" s="433"/>
      <c r="BY16" s="433"/>
      <c r="BZ16" s="433"/>
      <c r="CA16" s="433"/>
      <c r="CB16" s="434"/>
    </row>
    <row r="17" spans="1:80" ht="12.75" customHeight="1">
      <c r="A17" s="674">
        <f>IF(Build!B307="","",Build!B307)</f>
      </c>
      <c r="B17" s="669"/>
      <c r="C17" s="669"/>
      <c r="D17" s="669"/>
      <c r="E17" s="603">
        <f>IF(Build!C307="","",Build!C307)</f>
      </c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69">
        <f>IF(Build!J307=0,"",Build!J307)</f>
      </c>
      <c r="AE17" s="669"/>
      <c r="AF17" s="669"/>
      <c r="AG17" s="669"/>
      <c r="AH17" s="669"/>
      <c r="AI17" s="433">
        <f>IF(Build!K307=0,"",Build!K307)</f>
      </c>
      <c r="AJ17" s="433"/>
      <c r="AK17" s="433"/>
      <c r="AL17" s="433"/>
      <c r="AM17" s="433"/>
      <c r="AN17" s="434"/>
      <c r="AO17" s="674">
        <f>IF(Build!M307="","",Build!M307)</f>
      </c>
      <c r="AP17" s="669"/>
      <c r="AQ17" s="669"/>
      <c r="AR17" s="669"/>
      <c r="AS17" s="603">
        <f>IF(Build!N307="","",Build!N307)</f>
      </c>
      <c r="AT17" s="603"/>
      <c r="AU17" s="603"/>
      <c r="AV17" s="603"/>
      <c r="AW17" s="603"/>
      <c r="AX17" s="603"/>
      <c r="AY17" s="603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3"/>
      <c r="BM17" s="603"/>
      <c r="BN17" s="603"/>
      <c r="BO17" s="603"/>
      <c r="BP17" s="603"/>
      <c r="BQ17" s="603"/>
      <c r="BR17" s="669">
        <f>IF(Build!U307=0,"",Build!U307)</f>
      </c>
      <c r="BS17" s="669"/>
      <c r="BT17" s="669"/>
      <c r="BU17" s="669"/>
      <c r="BV17" s="669"/>
      <c r="BW17" s="433">
        <f>IF(Build!V307=0,"",Build!V307)</f>
      </c>
      <c r="BX17" s="433"/>
      <c r="BY17" s="433"/>
      <c r="BZ17" s="433"/>
      <c r="CA17" s="433"/>
      <c r="CB17" s="434"/>
    </row>
    <row r="18" spans="1:80" ht="12.75" customHeight="1">
      <c r="A18" s="674">
        <f>IF(Build!B308="","",Build!B308)</f>
      </c>
      <c r="B18" s="669"/>
      <c r="C18" s="669"/>
      <c r="D18" s="669"/>
      <c r="E18" s="603">
        <f>IF(Build!C308="","",Build!C308)</f>
      </c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69">
        <f>IF(Build!J308=0,"",Build!J308)</f>
      </c>
      <c r="AE18" s="669"/>
      <c r="AF18" s="669"/>
      <c r="AG18" s="669"/>
      <c r="AH18" s="669"/>
      <c r="AI18" s="433">
        <f>IF(Build!K308=0,"",Build!K308)</f>
      </c>
      <c r="AJ18" s="433"/>
      <c r="AK18" s="433"/>
      <c r="AL18" s="433"/>
      <c r="AM18" s="433"/>
      <c r="AN18" s="434"/>
      <c r="AO18" s="674">
        <f>IF(Build!M308="","",Build!M308)</f>
      </c>
      <c r="AP18" s="669"/>
      <c r="AQ18" s="669"/>
      <c r="AR18" s="669"/>
      <c r="AS18" s="603">
        <f>IF(Build!N308="","",Build!N308)</f>
      </c>
      <c r="AT18" s="603"/>
      <c r="AU18" s="603"/>
      <c r="AV18" s="603"/>
      <c r="AW18" s="603"/>
      <c r="AX18" s="603"/>
      <c r="AY18" s="603"/>
      <c r="AZ18" s="603"/>
      <c r="BA18" s="603"/>
      <c r="BB18" s="603"/>
      <c r="BC18" s="603"/>
      <c r="BD18" s="603"/>
      <c r="BE18" s="603"/>
      <c r="BF18" s="603"/>
      <c r="BG18" s="603"/>
      <c r="BH18" s="603"/>
      <c r="BI18" s="603"/>
      <c r="BJ18" s="603"/>
      <c r="BK18" s="603"/>
      <c r="BL18" s="603"/>
      <c r="BM18" s="603"/>
      <c r="BN18" s="603"/>
      <c r="BO18" s="603"/>
      <c r="BP18" s="603"/>
      <c r="BQ18" s="603"/>
      <c r="BR18" s="669">
        <f>IF(Build!U308=0,"",Build!U308)</f>
      </c>
      <c r="BS18" s="669"/>
      <c r="BT18" s="669"/>
      <c r="BU18" s="669"/>
      <c r="BV18" s="669"/>
      <c r="BW18" s="433">
        <f>IF(Build!V308=0,"",Build!V308)</f>
      </c>
      <c r="BX18" s="433"/>
      <c r="BY18" s="433"/>
      <c r="BZ18" s="433"/>
      <c r="CA18" s="433"/>
      <c r="CB18" s="434"/>
    </row>
    <row r="19" spans="1:80" ht="12.75" customHeight="1">
      <c r="A19" s="674">
        <f>IF(Build!B309="","",Build!B309)</f>
      </c>
      <c r="B19" s="669"/>
      <c r="C19" s="669"/>
      <c r="D19" s="669"/>
      <c r="E19" s="603">
        <f>IF(Build!C309="","",Build!C309)</f>
      </c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69">
        <f>IF(Build!J309=0,"",Build!J309)</f>
      </c>
      <c r="AE19" s="669"/>
      <c r="AF19" s="669"/>
      <c r="AG19" s="669"/>
      <c r="AH19" s="669"/>
      <c r="AI19" s="433">
        <f>IF(Build!K309=0,"",Build!K309)</f>
      </c>
      <c r="AJ19" s="433"/>
      <c r="AK19" s="433"/>
      <c r="AL19" s="433"/>
      <c r="AM19" s="433"/>
      <c r="AN19" s="434"/>
      <c r="AO19" s="674">
        <f>IF(Build!M309="","",Build!M309)</f>
      </c>
      <c r="AP19" s="669"/>
      <c r="AQ19" s="669"/>
      <c r="AR19" s="669"/>
      <c r="AS19" s="603">
        <f>IF(Build!N309="","",Build!N309)</f>
      </c>
      <c r="AT19" s="603"/>
      <c r="AU19" s="603"/>
      <c r="AV19" s="603"/>
      <c r="AW19" s="603"/>
      <c r="AX19" s="603"/>
      <c r="AY19" s="603"/>
      <c r="AZ19" s="603"/>
      <c r="BA19" s="603"/>
      <c r="BB19" s="603"/>
      <c r="BC19" s="603"/>
      <c r="BD19" s="603"/>
      <c r="BE19" s="603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  <c r="BR19" s="669">
        <f>IF(Build!U309=0,"",Build!U309)</f>
      </c>
      <c r="BS19" s="669"/>
      <c r="BT19" s="669"/>
      <c r="BU19" s="669"/>
      <c r="BV19" s="669"/>
      <c r="BW19" s="433">
        <f>IF(Build!V309=0,"",Build!V309)</f>
      </c>
      <c r="BX19" s="433"/>
      <c r="BY19" s="433"/>
      <c r="BZ19" s="433"/>
      <c r="CA19" s="433"/>
      <c r="CB19" s="434"/>
    </row>
    <row r="20" spans="1:80" ht="12.75" customHeight="1">
      <c r="A20" s="674">
        <f>IF(Build!B310="","",Build!B310)</f>
      </c>
      <c r="B20" s="669"/>
      <c r="C20" s="669"/>
      <c r="D20" s="669"/>
      <c r="E20" s="603">
        <f>IF(Build!C310="","",Build!C310)</f>
      </c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3"/>
      <c r="V20" s="603"/>
      <c r="W20" s="603"/>
      <c r="X20" s="603"/>
      <c r="Y20" s="603"/>
      <c r="Z20" s="603"/>
      <c r="AA20" s="603"/>
      <c r="AB20" s="603"/>
      <c r="AC20" s="603"/>
      <c r="AD20" s="669">
        <f>IF(Build!J310=0,"",Build!J310)</f>
      </c>
      <c r="AE20" s="669"/>
      <c r="AF20" s="669"/>
      <c r="AG20" s="669"/>
      <c r="AH20" s="669"/>
      <c r="AI20" s="433">
        <f>IF(Build!K310=0,"",Build!K310)</f>
      </c>
      <c r="AJ20" s="433"/>
      <c r="AK20" s="433"/>
      <c r="AL20" s="433"/>
      <c r="AM20" s="433"/>
      <c r="AN20" s="434"/>
      <c r="AO20" s="674">
        <f>IF(Build!M310="","",Build!M310)</f>
      </c>
      <c r="AP20" s="669"/>
      <c r="AQ20" s="669"/>
      <c r="AR20" s="669"/>
      <c r="AS20" s="603">
        <f>IF(Build!N310="","",Build!N310)</f>
      </c>
      <c r="AT20" s="603"/>
      <c r="AU20" s="603"/>
      <c r="AV20" s="603"/>
      <c r="AW20" s="603"/>
      <c r="AX20" s="603"/>
      <c r="AY20" s="603"/>
      <c r="AZ20" s="603"/>
      <c r="BA20" s="603"/>
      <c r="BB20" s="603"/>
      <c r="BC20" s="603"/>
      <c r="BD20" s="603"/>
      <c r="BE20" s="603"/>
      <c r="BF20" s="603"/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  <c r="BR20" s="669">
        <f>IF(Build!U310=0,"",Build!U310)</f>
      </c>
      <c r="BS20" s="669"/>
      <c r="BT20" s="669"/>
      <c r="BU20" s="669"/>
      <c r="BV20" s="669"/>
      <c r="BW20" s="433">
        <f>IF(Build!V310=0,"",Build!V310)</f>
      </c>
      <c r="BX20" s="433"/>
      <c r="BY20" s="433"/>
      <c r="BZ20" s="433"/>
      <c r="CA20" s="433"/>
      <c r="CB20" s="434"/>
    </row>
    <row r="21" spans="1:80" ht="12.75" customHeight="1">
      <c r="A21" s="674">
        <f>IF(Build!B311="","",Build!B311)</f>
      </c>
      <c r="B21" s="669"/>
      <c r="C21" s="669"/>
      <c r="D21" s="669"/>
      <c r="E21" s="603">
        <f>IF(Build!C311="","",Build!C311)</f>
      </c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/>
      <c r="AB21" s="603"/>
      <c r="AC21" s="603"/>
      <c r="AD21" s="669">
        <f>IF(Build!J311=0,"",Build!J311)</f>
      </c>
      <c r="AE21" s="669"/>
      <c r="AF21" s="669"/>
      <c r="AG21" s="669"/>
      <c r="AH21" s="669"/>
      <c r="AI21" s="433">
        <f>IF(Build!K311=0,"",Build!K311)</f>
      </c>
      <c r="AJ21" s="433"/>
      <c r="AK21" s="433"/>
      <c r="AL21" s="433"/>
      <c r="AM21" s="433"/>
      <c r="AN21" s="434"/>
      <c r="AO21" s="674">
        <f>IF(Build!M311="","",Build!M311)</f>
      </c>
      <c r="AP21" s="669"/>
      <c r="AQ21" s="669"/>
      <c r="AR21" s="669"/>
      <c r="AS21" s="603">
        <f>IF(Build!N311="","",Build!N311)</f>
      </c>
      <c r="AT21" s="603"/>
      <c r="AU21" s="603"/>
      <c r="AV21" s="603"/>
      <c r="AW21" s="603"/>
      <c r="AX21" s="603"/>
      <c r="AY21" s="603"/>
      <c r="AZ21" s="603"/>
      <c r="BA21" s="603"/>
      <c r="BB21" s="603"/>
      <c r="BC21" s="603"/>
      <c r="BD21" s="603"/>
      <c r="BE21" s="603"/>
      <c r="BF21" s="603"/>
      <c r="BG21" s="603"/>
      <c r="BH21" s="603"/>
      <c r="BI21" s="603"/>
      <c r="BJ21" s="603"/>
      <c r="BK21" s="603"/>
      <c r="BL21" s="603"/>
      <c r="BM21" s="603"/>
      <c r="BN21" s="603"/>
      <c r="BO21" s="603"/>
      <c r="BP21" s="603"/>
      <c r="BQ21" s="603"/>
      <c r="BR21" s="669">
        <f>IF(Build!U311=0,"",Build!U311)</f>
      </c>
      <c r="BS21" s="669"/>
      <c r="BT21" s="669"/>
      <c r="BU21" s="669"/>
      <c r="BV21" s="669"/>
      <c r="BW21" s="433">
        <f>IF(Build!V311=0,"",Build!V311)</f>
      </c>
      <c r="BX21" s="433"/>
      <c r="BY21" s="433"/>
      <c r="BZ21" s="433"/>
      <c r="CA21" s="433"/>
      <c r="CB21" s="434"/>
    </row>
    <row r="22" spans="1:80" ht="12.75" customHeight="1">
      <c r="A22" s="674">
        <f>IF(Build!B312="","",Build!B312)</f>
      </c>
      <c r="B22" s="669"/>
      <c r="C22" s="669"/>
      <c r="D22" s="669"/>
      <c r="E22" s="603">
        <f>IF(Build!C312="","",Build!C312)</f>
      </c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69">
        <f>IF(Build!J312=0,"",Build!J312)</f>
      </c>
      <c r="AE22" s="669"/>
      <c r="AF22" s="669"/>
      <c r="AG22" s="669"/>
      <c r="AH22" s="669"/>
      <c r="AI22" s="433">
        <f>IF(Build!K312=0,"",Build!K312)</f>
      </c>
      <c r="AJ22" s="433"/>
      <c r="AK22" s="433"/>
      <c r="AL22" s="433"/>
      <c r="AM22" s="433"/>
      <c r="AN22" s="434"/>
      <c r="AO22" s="674">
        <f>IF(Build!M312="","",Build!M312)</f>
      </c>
      <c r="AP22" s="669"/>
      <c r="AQ22" s="669"/>
      <c r="AR22" s="669"/>
      <c r="AS22" s="603">
        <f>IF(Build!N312="","",Build!N312)</f>
      </c>
      <c r="AT22" s="603"/>
      <c r="AU22" s="603"/>
      <c r="AV22" s="603"/>
      <c r="AW22" s="603"/>
      <c r="AX22" s="603"/>
      <c r="AY22" s="603"/>
      <c r="AZ22" s="603"/>
      <c r="BA22" s="603"/>
      <c r="BB22" s="603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69">
        <f>IF(Build!U312=0,"",Build!U312)</f>
      </c>
      <c r="BS22" s="669"/>
      <c r="BT22" s="669"/>
      <c r="BU22" s="669"/>
      <c r="BV22" s="669"/>
      <c r="BW22" s="433">
        <f>IF(Build!V312=0,"",Build!V312)</f>
      </c>
      <c r="BX22" s="433"/>
      <c r="BY22" s="433"/>
      <c r="BZ22" s="433"/>
      <c r="CA22" s="433"/>
      <c r="CB22" s="434"/>
    </row>
    <row r="23" spans="1:80" ht="12.75" customHeight="1">
      <c r="A23" s="674">
        <f>IF(Build!B313="","",Build!B313)</f>
      </c>
      <c r="B23" s="669"/>
      <c r="C23" s="669"/>
      <c r="D23" s="669"/>
      <c r="E23" s="603">
        <f>IF(Build!C313="","",Build!C313)</f>
      </c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69">
        <f>IF(Build!J313=0,"",Build!J313)</f>
      </c>
      <c r="AE23" s="669"/>
      <c r="AF23" s="669"/>
      <c r="AG23" s="669"/>
      <c r="AH23" s="669"/>
      <c r="AI23" s="433">
        <f>IF(Build!K313=0,"",Build!K313)</f>
      </c>
      <c r="AJ23" s="433"/>
      <c r="AK23" s="433"/>
      <c r="AL23" s="433"/>
      <c r="AM23" s="433"/>
      <c r="AN23" s="434"/>
      <c r="AO23" s="674">
        <f>IF(Build!M313="","",Build!M313)</f>
      </c>
      <c r="AP23" s="669"/>
      <c r="AQ23" s="669"/>
      <c r="AR23" s="669"/>
      <c r="AS23" s="603">
        <f>IF(Build!N313="","",Build!N313)</f>
      </c>
      <c r="AT23" s="603"/>
      <c r="AU23" s="603"/>
      <c r="AV23" s="603"/>
      <c r="AW23" s="603"/>
      <c r="AX23" s="603"/>
      <c r="AY23" s="603"/>
      <c r="AZ23" s="603"/>
      <c r="BA23" s="603"/>
      <c r="BB23" s="603"/>
      <c r="BC23" s="603"/>
      <c r="BD23" s="603"/>
      <c r="BE23" s="603"/>
      <c r="BF23" s="603"/>
      <c r="BG23" s="603"/>
      <c r="BH23" s="603"/>
      <c r="BI23" s="603"/>
      <c r="BJ23" s="603"/>
      <c r="BK23" s="603"/>
      <c r="BL23" s="603"/>
      <c r="BM23" s="603"/>
      <c r="BN23" s="603"/>
      <c r="BO23" s="603"/>
      <c r="BP23" s="603"/>
      <c r="BQ23" s="603"/>
      <c r="BR23" s="669">
        <f>IF(Build!U313=0,"",Build!U313)</f>
      </c>
      <c r="BS23" s="669"/>
      <c r="BT23" s="669"/>
      <c r="BU23" s="669"/>
      <c r="BV23" s="669"/>
      <c r="BW23" s="433">
        <f>IF(Build!V313=0,"",Build!V313)</f>
      </c>
      <c r="BX23" s="433"/>
      <c r="BY23" s="433"/>
      <c r="BZ23" s="433"/>
      <c r="CA23" s="433"/>
      <c r="CB23" s="434"/>
    </row>
    <row r="24" spans="1:80" ht="12.75" customHeight="1">
      <c r="A24" s="674">
        <f>IF(Build!B314="","",Build!B314)</f>
      </c>
      <c r="B24" s="669"/>
      <c r="C24" s="669"/>
      <c r="D24" s="669"/>
      <c r="E24" s="603">
        <f>IF(Build!C314="","",Build!C314)</f>
      </c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69">
        <f>IF(Build!J314=0,"",Build!J314)</f>
      </c>
      <c r="AE24" s="669"/>
      <c r="AF24" s="669"/>
      <c r="AG24" s="669"/>
      <c r="AH24" s="669"/>
      <c r="AI24" s="433">
        <f>IF(Build!K314=0,"",Build!K314)</f>
      </c>
      <c r="AJ24" s="433"/>
      <c r="AK24" s="433"/>
      <c r="AL24" s="433"/>
      <c r="AM24" s="433"/>
      <c r="AN24" s="434"/>
      <c r="AO24" s="674">
        <f>IF(Build!M314="","",Build!M314)</f>
      </c>
      <c r="AP24" s="669"/>
      <c r="AQ24" s="669"/>
      <c r="AR24" s="669"/>
      <c r="AS24" s="603">
        <f>IF(Build!N314="","",Build!N314)</f>
      </c>
      <c r="AT24" s="603"/>
      <c r="AU24" s="603"/>
      <c r="AV24" s="603"/>
      <c r="AW24" s="603"/>
      <c r="AX24" s="603"/>
      <c r="AY24" s="603"/>
      <c r="AZ24" s="603"/>
      <c r="BA24" s="603"/>
      <c r="BB24" s="603"/>
      <c r="BC24" s="603"/>
      <c r="BD24" s="603"/>
      <c r="BE24" s="603"/>
      <c r="BF24" s="603"/>
      <c r="BG24" s="603"/>
      <c r="BH24" s="603"/>
      <c r="BI24" s="603"/>
      <c r="BJ24" s="603"/>
      <c r="BK24" s="603"/>
      <c r="BL24" s="603"/>
      <c r="BM24" s="603"/>
      <c r="BN24" s="603"/>
      <c r="BO24" s="603"/>
      <c r="BP24" s="603"/>
      <c r="BQ24" s="603"/>
      <c r="BR24" s="669">
        <f>IF(Build!U314=0,"",Build!U314)</f>
      </c>
      <c r="BS24" s="669"/>
      <c r="BT24" s="669"/>
      <c r="BU24" s="669"/>
      <c r="BV24" s="669"/>
      <c r="BW24" s="433">
        <f>IF(Build!V314=0,"",Build!V314)</f>
      </c>
      <c r="BX24" s="433"/>
      <c r="BY24" s="433"/>
      <c r="BZ24" s="433"/>
      <c r="CA24" s="433"/>
      <c r="CB24" s="434"/>
    </row>
    <row r="25" spans="1:80" ht="12.75" customHeight="1">
      <c r="A25" s="674">
        <f>IF(Build!B315="","",Build!B315)</f>
      </c>
      <c r="B25" s="669"/>
      <c r="C25" s="669"/>
      <c r="D25" s="669"/>
      <c r="E25" s="603">
        <f>IF(Build!C315="","",Build!C315)</f>
      </c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603"/>
      <c r="T25" s="603"/>
      <c r="U25" s="603"/>
      <c r="V25" s="603"/>
      <c r="W25" s="603"/>
      <c r="X25" s="603"/>
      <c r="Y25" s="603"/>
      <c r="Z25" s="603"/>
      <c r="AA25" s="603"/>
      <c r="AB25" s="603"/>
      <c r="AC25" s="603"/>
      <c r="AD25" s="669">
        <f>IF(Build!J315=0,"",Build!J315)</f>
      </c>
      <c r="AE25" s="669"/>
      <c r="AF25" s="669"/>
      <c r="AG25" s="669"/>
      <c r="AH25" s="669"/>
      <c r="AI25" s="433">
        <f>IF(Build!K315=0,"",Build!K315)</f>
      </c>
      <c r="AJ25" s="433"/>
      <c r="AK25" s="433"/>
      <c r="AL25" s="433"/>
      <c r="AM25" s="433"/>
      <c r="AN25" s="434"/>
      <c r="AO25" s="674">
        <f>IF(Build!M315="","",Build!M315)</f>
      </c>
      <c r="AP25" s="669"/>
      <c r="AQ25" s="669"/>
      <c r="AR25" s="669"/>
      <c r="AS25" s="603">
        <f>IF(Build!N315="","",Build!N315)</f>
      </c>
      <c r="AT25" s="603"/>
      <c r="AU25" s="603"/>
      <c r="AV25" s="603"/>
      <c r="AW25" s="603"/>
      <c r="AX25" s="603"/>
      <c r="AY25" s="603"/>
      <c r="AZ25" s="603"/>
      <c r="BA25" s="603"/>
      <c r="BB25" s="603"/>
      <c r="BC25" s="603"/>
      <c r="BD25" s="603"/>
      <c r="BE25" s="603"/>
      <c r="BF25" s="603"/>
      <c r="BG25" s="603"/>
      <c r="BH25" s="603"/>
      <c r="BI25" s="603"/>
      <c r="BJ25" s="603"/>
      <c r="BK25" s="603"/>
      <c r="BL25" s="603"/>
      <c r="BM25" s="603"/>
      <c r="BN25" s="603"/>
      <c r="BO25" s="603"/>
      <c r="BP25" s="603"/>
      <c r="BQ25" s="603"/>
      <c r="BR25" s="669">
        <f>IF(Build!U315=0,"",Build!U315)</f>
      </c>
      <c r="BS25" s="669"/>
      <c r="BT25" s="669"/>
      <c r="BU25" s="669"/>
      <c r="BV25" s="669"/>
      <c r="BW25" s="433">
        <f>IF(Build!V315=0,"",Build!V315)</f>
      </c>
      <c r="BX25" s="433"/>
      <c r="BY25" s="433"/>
      <c r="BZ25" s="433"/>
      <c r="CA25" s="433"/>
      <c r="CB25" s="434"/>
    </row>
    <row r="26" spans="1:80" ht="12.75" customHeight="1">
      <c r="A26" s="674">
        <f>IF(Build!B316="","",Build!B316)</f>
      </c>
      <c r="B26" s="669"/>
      <c r="C26" s="669"/>
      <c r="D26" s="669"/>
      <c r="E26" s="603">
        <f>IF(Build!C316="","",Build!C316)</f>
      </c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603"/>
      <c r="T26" s="603"/>
      <c r="U26" s="603"/>
      <c r="V26" s="603"/>
      <c r="W26" s="603"/>
      <c r="X26" s="603"/>
      <c r="Y26" s="603"/>
      <c r="Z26" s="603"/>
      <c r="AA26" s="603"/>
      <c r="AB26" s="603"/>
      <c r="AC26" s="603"/>
      <c r="AD26" s="669">
        <f>IF(Build!J316=0,"",Build!J316)</f>
      </c>
      <c r="AE26" s="669"/>
      <c r="AF26" s="669"/>
      <c r="AG26" s="669"/>
      <c r="AH26" s="669"/>
      <c r="AI26" s="433">
        <f>IF(Build!K316=0,"",Build!K316)</f>
      </c>
      <c r="AJ26" s="433"/>
      <c r="AK26" s="433"/>
      <c r="AL26" s="433"/>
      <c r="AM26" s="433"/>
      <c r="AN26" s="434"/>
      <c r="AO26" s="674">
        <f>IF(Build!M316="","",Build!M316)</f>
      </c>
      <c r="AP26" s="669"/>
      <c r="AQ26" s="669"/>
      <c r="AR26" s="669"/>
      <c r="AS26" s="603">
        <f>IF(Build!N316="","",Build!N316)</f>
      </c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03"/>
      <c r="BG26" s="603"/>
      <c r="BH26" s="603"/>
      <c r="BI26" s="603"/>
      <c r="BJ26" s="603"/>
      <c r="BK26" s="603"/>
      <c r="BL26" s="603"/>
      <c r="BM26" s="603"/>
      <c r="BN26" s="603"/>
      <c r="BO26" s="603"/>
      <c r="BP26" s="603"/>
      <c r="BQ26" s="603"/>
      <c r="BR26" s="669">
        <f>IF(Build!U316=0,"",Build!U316)</f>
      </c>
      <c r="BS26" s="669"/>
      <c r="BT26" s="669"/>
      <c r="BU26" s="669"/>
      <c r="BV26" s="669"/>
      <c r="BW26" s="433">
        <f>IF(Build!V316=0,"",Build!V316)</f>
      </c>
      <c r="BX26" s="433"/>
      <c r="BY26" s="433"/>
      <c r="BZ26" s="433"/>
      <c r="CA26" s="433"/>
      <c r="CB26" s="434"/>
    </row>
    <row r="27" spans="1:80" ht="12.75" customHeight="1">
      <c r="A27" s="674">
        <f>IF(Build!B317="","",Build!B317)</f>
      </c>
      <c r="B27" s="669"/>
      <c r="C27" s="669"/>
      <c r="D27" s="669"/>
      <c r="E27" s="603">
        <f>IF(Build!C317="","",Build!C317)</f>
      </c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69">
        <f>IF(Build!J317=0,"",Build!J317)</f>
      </c>
      <c r="AE27" s="669"/>
      <c r="AF27" s="669"/>
      <c r="AG27" s="669"/>
      <c r="AH27" s="669"/>
      <c r="AI27" s="433">
        <f>IF(Build!K317=0,"",Build!K317)</f>
      </c>
      <c r="AJ27" s="433"/>
      <c r="AK27" s="433"/>
      <c r="AL27" s="433"/>
      <c r="AM27" s="433"/>
      <c r="AN27" s="434"/>
      <c r="AO27" s="674">
        <f>IF(Build!M317="","",Build!M317)</f>
      </c>
      <c r="AP27" s="669"/>
      <c r="AQ27" s="669"/>
      <c r="AR27" s="669"/>
      <c r="AS27" s="603">
        <f>IF(Build!N317="","",Build!N317)</f>
      </c>
      <c r="AT27" s="603"/>
      <c r="AU27" s="603"/>
      <c r="AV27" s="603"/>
      <c r="AW27" s="603"/>
      <c r="AX27" s="603"/>
      <c r="AY27" s="603"/>
      <c r="AZ27" s="603"/>
      <c r="BA27" s="603"/>
      <c r="BB27" s="603"/>
      <c r="BC27" s="603"/>
      <c r="BD27" s="603"/>
      <c r="BE27" s="603"/>
      <c r="BF27" s="603"/>
      <c r="BG27" s="603"/>
      <c r="BH27" s="603"/>
      <c r="BI27" s="603"/>
      <c r="BJ27" s="603"/>
      <c r="BK27" s="603"/>
      <c r="BL27" s="603"/>
      <c r="BM27" s="603"/>
      <c r="BN27" s="603"/>
      <c r="BO27" s="603"/>
      <c r="BP27" s="603"/>
      <c r="BQ27" s="603"/>
      <c r="BR27" s="669">
        <f>IF(Build!U317=0,"",Build!U317)</f>
      </c>
      <c r="BS27" s="669"/>
      <c r="BT27" s="669"/>
      <c r="BU27" s="669"/>
      <c r="BV27" s="669"/>
      <c r="BW27" s="433">
        <f>IF(Build!V317=0,"",Build!V317)</f>
      </c>
      <c r="BX27" s="433"/>
      <c r="BY27" s="433"/>
      <c r="BZ27" s="433"/>
      <c r="CA27" s="433"/>
      <c r="CB27" s="434"/>
    </row>
    <row r="28" spans="1:80" ht="12.75" customHeight="1">
      <c r="A28" s="674">
        <f>IF(Build!B318="","",Build!B318)</f>
      </c>
      <c r="B28" s="669"/>
      <c r="C28" s="669"/>
      <c r="D28" s="669"/>
      <c r="E28" s="603">
        <f>IF(Build!C318="","",Build!C318)</f>
      </c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603"/>
      <c r="T28" s="603"/>
      <c r="U28" s="603"/>
      <c r="V28" s="603"/>
      <c r="W28" s="603"/>
      <c r="X28" s="603"/>
      <c r="Y28" s="603"/>
      <c r="Z28" s="603"/>
      <c r="AA28" s="603"/>
      <c r="AB28" s="603"/>
      <c r="AC28" s="603"/>
      <c r="AD28" s="669">
        <f>IF(Build!J318=0,"",Build!J318)</f>
      </c>
      <c r="AE28" s="669"/>
      <c r="AF28" s="669"/>
      <c r="AG28" s="669"/>
      <c r="AH28" s="669"/>
      <c r="AI28" s="433">
        <f>IF(Build!K318=0,"",Build!K318)</f>
      </c>
      <c r="AJ28" s="433"/>
      <c r="AK28" s="433"/>
      <c r="AL28" s="433"/>
      <c r="AM28" s="433"/>
      <c r="AN28" s="434"/>
      <c r="AO28" s="674">
        <f>IF(Build!M318="","",Build!M318)</f>
      </c>
      <c r="AP28" s="669"/>
      <c r="AQ28" s="669"/>
      <c r="AR28" s="669"/>
      <c r="AS28" s="603">
        <f>IF(Build!N318="","",Build!N318)</f>
      </c>
      <c r="AT28" s="603"/>
      <c r="AU28" s="603"/>
      <c r="AV28" s="603"/>
      <c r="AW28" s="603"/>
      <c r="AX28" s="603"/>
      <c r="AY28" s="603"/>
      <c r="AZ28" s="603"/>
      <c r="BA28" s="603"/>
      <c r="BB28" s="603"/>
      <c r="BC28" s="603"/>
      <c r="BD28" s="603"/>
      <c r="BE28" s="603"/>
      <c r="BF28" s="603"/>
      <c r="BG28" s="603"/>
      <c r="BH28" s="603"/>
      <c r="BI28" s="603"/>
      <c r="BJ28" s="603"/>
      <c r="BK28" s="603"/>
      <c r="BL28" s="603"/>
      <c r="BM28" s="603"/>
      <c r="BN28" s="603"/>
      <c r="BO28" s="603"/>
      <c r="BP28" s="603"/>
      <c r="BQ28" s="603"/>
      <c r="BR28" s="669">
        <f>IF(Build!U318=0,"",Build!U318)</f>
      </c>
      <c r="BS28" s="669"/>
      <c r="BT28" s="669"/>
      <c r="BU28" s="669"/>
      <c r="BV28" s="669"/>
      <c r="BW28" s="433">
        <f>IF(Build!V318=0,"",Build!V318)</f>
      </c>
      <c r="BX28" s="433"/>
      <c r="BY28" s="433"/>
      <c r="BZ28" s="433"/>
      <c r="CA28" s="433"/>
      <c r="CB28" s="434"/>
    </row>
    <row r="29" spans="1:80" ht="12.75" customHeight="1">
      <c r="A29" s="674">
        <f>IF(Build!B319="","",Build!B319)</f>
      </c>
      <c r="B29" s="669"/>
      <c r="C29" s="669"/>
      <c r="D29" s="669"/>
      <c r="E29" s="603">
        <f>IF(Build!C319="","",Build!C319)</f>
      </c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603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69">
        <f>IF(Build!J319=0,"",Build!J319)</f>
      </c>
      <c r="AE29" s="669"/>
      <c r="AF29" s="669"/>
      <c r="AG29" s="669"/>
      <c r="AH29" s="669"/>
      <c r="AI29" s="433">
        <f>IF(Build!K319=0,"",Build!K319)</f>
      </c>
      <c r="AJ29" s="433"/>
      <c r="AK29" s="433"/>
      <c r="AL29" s="433"/>
      <c r="AM29" s="433"/>
      <c r="AN29" s="434"/>
      <c r="AO29" s="674">
        <f>IF(Build!M319="","",Build!M319)</f>
      </c>
      <c r="AP29" s="669"/>
      <c r="AQ29" s="669"/>
      <c r="AR29" s="669"/>
      <c r="AS29" s="603">
        <f>IF(Build!N319="","",Build!N319)</f>
      </c>
      <c r="AT29" s="603"/>
      <c r="AU29" s="603"/>
      <c r="AV29" s="603"/>
      <c r="AW29" s="603"/>
      <c r="AX29" s="603"/>
      <c r="AY29" s="603"/>
      <c r="AZ29" s="603"/>
      <c r="BA29" s="603"/>
      <c r="BB29" s="603"/>
      <c r="BC29" s="603"/>
      <c r="BD29" s="603"/>
      <c r="BE29" s="603"/>
      <c r="BF29" s="603"/>
      <c r="BG29" s="603"/>
      <c r="BH29" s="603"/>
      <c r="BI29" s="603"/>
      <c r="BJ29" s="603"/>
      <c r="BK29" s="603"/>
      <c r="BL29" s="603"/>
      <c r="BM29" s="603"/>
      <c r="BN29" s="603"/>
      <c r="BO29" s="603"/>
      <c r="BP29" s="603"/>
      <c r="BQ29" s="603"/>
      <c r="BR29" s="669">
        <f>IF(Build!U319=0,"",Build!U319)</f>
      </c>
      <c r="BS29" s="669"/>
      <c r="BT29" s="669"/>
      <c r="BU29" s="669"/>
      <c r="BV29" s="669"/>
      <c r="BW29" s="433">
        <f>IF(Build!V319=0,"",Build!V319)</f>
      </c>
      <c r="BX29" s="433"/>
      <c r="BY29" s="433"/>
      <c r="BZ29" s="433"/>
      <c r="CA29" s="433"/>
      <c r="CB29" s="434"/>
    </row>
    <row r="30" spans="1:80" ht="12.75" customHeight="1">
      <c r="A30" s="674">
        <f>IF(Build!B320="","",Build!B320)</f>
      </c>
      <c r="B30" s="669"/>
      <c r="C30" s="669"/>
      <c r="D30" s="669"/>
      <c r="E30" s="603">
        <f>IF(Build!C320="","",Build!C320)</f>
      </c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69">
        <f>IF(Build!J320=0,"",Build!J320)</f>
      </c>
      <c r="AE30" s="669"/>
      <c r="AF30" s="669"/>
      <c r="AG30" s="669"/>
      <c r="AH30" s="669"/>
      <c r="AI30" s="433">
        <f>IF(Build!K320=0,"",Build!K320)</f>
      </c>
      <c r="AJ30" s="433"/>
      <c r="AK30" s="433"/>
      <c r="AL30" s="433"/>
      <c r="AM30" s="433"/>
      <c r="AN30" s="434"/>
      <c r="AO30" s="674">
        <f>IF(Build!M320="","",Build!M320)</f>
      </c>
      <c r="AP30" s="669"/>
      <c r="AQ30" s="669"/>
      <c r="AR30" s="669"/>
      <c r="AS30" s="603">
        <f>IF(Build!N320="","",Build!N320)</f>
      </c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603"/>
      <c r="BE30" s="603"/>
      <c r="BF30" s="603"/>
      <c r="BG30" s="603"/>
      <c r="BH30" s="603"/>
      <c r="BI30" s="603"/>
      <c r="BJ30" s="603"/>
      <c r="BK30" s="603"/>
      <c r="BL30" s="603"/>
      <c r="BM30" s="603"/>
      <c r="BN30" s="603"/>
      <c r="BO30" s="603"/>
      <c r="BP30" s="603"/>
      <c r="BQ30" s="603"/>
      <c r="BR30" s="669">
        <f>IF(Build!U320=0,"",Build!U320)</f>
      </c>
      <c r="BS30" s="669"/>
      <c r="BT30" s="669"/>
      <c r="BU30" s="669"/>
      <c r="BV30" s="669"/>
      <c r="BW30" s="433">
        <f>IF(Build!V320=0,"",Build!V320)</f>
      </c>
      <c r="BX30" s="433"/>
      <c r="BY30" s="433"/>
      <c r="BZ30" s="433"/>
      <c r="CA30" s="433"/>
      <c r="CB30" s="434"/>
    </row>
    <row r="31" spans="1:80" ht="12.75" customHeight="1">
      <c r="A31" s="674">
        <f>IF(Build!B321="","",Build!B321)</f>
      </c>
      <c r="B31" s="669"/>
      <c r="C31" s="669"/>
      <c r="D31" s="669"/>
      <c r="E31" s="603">
        <f>IF(Build!C321="","",Build!C321)</f>
      </c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69">
        <f>IF(Build!J321=0,"",Build!J321)</f>
      </c>
      <c r="AE31" s="669"/>
      <c r="AF31" s="669"/>
      <c r="AG31" s="669"/>
      <c r="AH31" s="669"/>
      <c r="AI31" s="433">
        <f>IF(Build!K321=0,"",Build!K321)</f>
      </c>
      <c r="AJ31" s="433"/>
      <c r="AK31" s="433"/>
      <c r="AL31" s="433"/>
      <c r="AM31" s="433"/>
      <c r="AN31" s="434"/>
      <c r="AO31" s="674">
        <f>IF(Build!M321="","",Build!M321)</f>
      </c>
      <c r="AP31" s="669"/>
      <c r="AQ31" s="669"/>
      <c r="AR31" s="669"/>
      <c r="AS31" s="603">
        <f>IF(Build!N321="","",Build!N321)</f>
      </c>
      <c r="AT31" s="603"/>
      <c r="AU31" s="603"/>
      <c r="AV31" s="603"/>
      <c r="AW31" s="603"/>
      <c r="AX31" s="603"/>
      <c r="AY31" s="603"/>
      <c r="AZ31" s="603"/>
      <c r="BA31" s="603"/>
      <c r="BB31" s="603"/>
      <c r="BC31" s="603"/>
      <c r="BD31" s="603"/>
      <c r="BE31" s="603"/>
      <c r="BF31" s="603"/>
      <c r="BG31" s="603"/>
      <c r="BH31" s="603"/>
      <c r="BI31" s="603"/>
      <c r="BJ31" s="603"/>
      <c r="BK31" s="603"/>
      <c r="BL31" s="603"/>
      <c r="BM31" s="603"/>
      <c r="BN31" s="603"/>
      <c r="BO31" s="603"/>
      <c r="BP31" s="603"/>
      <c r="BQ31" s="603"/>
      <c r="BR31" s="669">
        <f>IF(Build!U321=0,"",Build!U321)</f>
      </c>
      <c r="BS31" s="669"/>
      <c r="BT31" s="669"/>
      <c r="BU31" s="669"/>
      <c r="BV31" s="669"/>
      <c r="BW31" s="433">
        <f>IF(Build!V321=0,"",Build!V321)</f>
      </c>
      <c r="BX31" s="433"/>
      <c r="BY31" s="433"/>
      <c r="BZ31" s="433"/>
      <c r="CA31" s="433"/>
      <c r="CB31" s="434"/>
    </row>
    <row r="32" spans="1:80" ht="12.75" customHeight="1">
      <c r="A32" s="674">
        <f>IF(Build!B322="","",Build!B322)</f>
      </c>
      <c r="B32" s="669"/>
      <c r="C32" s="669"/>
      <c r="D32" s="669"/>
      <c r="E32" s="603">
        <f>IF(Build!C322="","",Build!C322)</f>
      </c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W32" s="603"/>
      <c r="X32" s="603"/>
      <c r="Y32" s="603"/>
      <c r="Z32" s="603"/>
      <c r="AA32" s="603"/>
      <c r="AB32" s="603"/>
      <c r="AC32" s="603"/>
      <c r="AD32" s="669">
        <f>IF(Build!J322=0,"",Build!J322)</f>
      </c>
      <c r="AE32" s="669"/>
      <c r="AF32" s="669"/>
      <c r="AG32" s="669"/>
      <c r="AH32" s="669"/>
      <c r="AI32" s="433">
        <f>IF(Build!K322=0,"",Build!K322)</f>
      </c>
      <c r="AJ32" s="433"/>
      <c r="AK32" s="433"/>
      <c r="AL32" s="433"/>
      <c r="AM32" s="433"/>
      <c r="AN32" s="434"/>
      <c r="AO32" s="674">
        <f>IF(Build!M322="","",Build!M322)</f>
      </c>
      <c r="AP32" s="669"/>
      <c r="AQ32" s="669"/>
      <c r="AR32" s="669"/>
      <c r="AS32" s="603">
        <f>IF(Build!N322="","",Build!N322)</f>
      </c>
      <c r="AT32" s="603"/>
      <c r="AU32" s="603"/>
      <c r="AV32" s="603"/>
      <c r="AW32" s="603"/>
      <c r="AX32" s="603"/>
      <c r="AY32" s="603"/>
      <c r="AZ32" s="603"/>
      <c r="BA32" s="603"/>
      <c r="BB32" s="603"/>
      <c r="BC32" s="603"/>
      <c r="BD32" s="603"/>
      <c r="BE32" s="603"/>
      <c r="BF32" s="603"/>
      <c r="BG32" s="603"/>
      <c r="BH32" s="603"/>
      <c r="BI32" s="603"/>
      <c r="BJ32" s="603"/>
      <c r="BK32" s="603"/>
      <c r="BL32" s="603"/>
      <c r="BM32" s="603"/>
      <c r="BN32" s="603"/>
      <c r="BO32" s="603"/>
      <c r="BP32" s="603"/>
      <c r="BQ32" s="603"/>
      <c r="BR32" s="669">
        <f>IF(Build!U322=0,"",Build!U322)</f>
      </c>
      <c r="BS32" s="669"/>
      <c r="BT32" s="669"/>
      <c r="BU32" s="669"/>
      <c r="BV32" s="669"/>
      <c r="BW32" s="433">
        <f>IF(Build!V322=0,"",Build!V322)</f>
      </c>
      <c r="BX32" s="433"/>
      <c r="BY32" s="433"/>
      <c r="BZ32" s="433"/>
      <c r="CA32" s="433"/>
      <c r="CB32" s="434"/>
    </row>
    <row r="33" spans="1:80" ht="12.75" customHeight="1">
      <c r="A33" s="674">
        <f>IF(Build!B323="","",Build!B323)</f>
      </c>
      <c r="B33" s="669"/>
      <c r="C33" s="669"/>
      <c r="D33" s="669"/>
      <c r="E33" s="603">
        <f>IF(Build!C323="","",Build!C323)</f>
      </c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603"/>
      <c r="T33" s="603"/>
      <c r="U33" s="603"/>
      <c r="V33" s="603"/>
      <c r="W33" s="603"/>
      <c r="X33" s="603"/>
      <c r="Y33" s="603"/>
      <c r="Z33" s="603"/>
      <c r="AA33" s="603"/>
      <c r="AB33" s="603"/>
      <c r="AC33" s="603"/>
      <c r="AD33" s="669">
        <f>IF(Build!J323=0,"",Build!J323)</f>
      </c>
      <c r="AE33" s="669"/>
      <c r="AF33" s="669"/>
      <c r="AG33" s="669"/>
      <c r="AH33" s="669"/>
      <c r="AI33" s="433">
        <f>IF(Build!K323=0,"",Build!K323)</f>
      </c>
      <c r="AJ33" s="433"/>
      <c r="AK33" s="433"/>
      <c r="AL33" s="433"/>
      <c r="AM33" s="433"/>
      <c r="AN33" s="434"/>
      <c r="AO33" s="674">
        <f>IF(Build!M323="","",Build!M323)</f>
      </c>
      <c r="AP33" s="669"/>
      <c r="AQ33" s="669"/>
      <c r="AR33" s="669"/>
      <c r="AS33" s="603">
        <f>IF(Build!N323="","",Build!N323)</f>
      </c>
      <c r="AT33" s="603"/>
      <c r="AU33" s="603"/>
      <c r="AV33" s="603"/>
      <c r="AW33" s="603"/>
      <c r="AX33" s="603"/>
      <c r="AY33" s="603"/>
      <c r="AZ33" s="603"/>
      <c r="BA33" s="603"/>
      <c r="BB33" s="603"/>
      <c r="BC33" s="603"/>
      <c r="BD33" s="603"/>
      <c r="BE33" s="603"/>
      <c r="BF33" s="603"/>
      <c r="BG33" s="603"/>
      <c r="BH33" s="603"/>
      <c r="BI33" s="603"/>
      <c r="BJ33" s="603"/>
      <c r="BK33" s="603"/>
      <c r="BL33" s="603"/>
      <c r="BM33" s="603"/>
      <c r="BN33" s="603"/>
      <c r="BO33" s="603"/>
      <c r="BP33" s="603"/>
      <c r="BQ33" s="603"/>
      <c r="BR33" s="669">
        <f>IF(Build!U323=0,"",Build!U323)</f>
      </c>
      <c r="BS33" s="669"/>
      <c r="BT33" s="669"/>
      <c r="BU33" s="669"/>
      <c r="BV33" s="669"/>
      <c r="BW33" s="433">
        <f>IF(Build!V323=0,"",Build!V323)</f>
      </c>
      <c r="BX33" s="433"/>
      <c r="BY33" s="433"/>
      <c r="BZ33" s="433"/>
      <c r="CA33" s="433"/>
      <c r="CB33" s="434"/>
    </row>
    <row r="34" spans="1:80" ht="12.75" customHeight="1">
      <c r="A34" s="674">
        <f>IF(Build!B324="","",Build!B324)</f>
      </c>
      <c r="B34" s="669"/>
      <c r="C34" s="669"/>
      <c r="D34" s="669"/>
      <c r="E34" s="603">
        <f>IF(Build!C324="","",Build!C324)</f>
      </c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603"/>
      <c r="T34" s="603"/>
      <c r="U34" s="603"/>
      <c r="V34" s="603"/>
      <c r="W34" s="603"/>
      <c r="X34" s="603"/>
      <c r="Y34" s="603"/>
      <c r="Z34" s="603"/>
      <c r="AA34" s="603"/>
      <c r="AB34" s="603"/>
      <c r="AC34" s="603"/>
      <c r="AD34" s="669">
        <f>IF(Build!J324=0,"",Build!J324)</f>
      </c>
      <c r="AE34" s="669"/>
      <c r="AF34" s="669"/>
      <c r="AG34" s="669"/>
      <c r="AH34" s="669"/>
      <c r="AI34" s="433">
        <f>IF(Build!K324=0,"",Build!K324)</f>
      </c>
      <c r="AJ34" s="433"/>
      <c r="AK34" s="433"/>
      <c r="AL34" s="433"/>
      <c r="AM34" s="433"/>
      <c r="AN34" s="434"/>
      <c r="AO34" s="674">
        <f>IF(Build!M324="","",Build!M324)</f>
      </c>
      <c r="AP34" s="669"/>
      <c r="AQ34" s="669"/>
      <c r="AR34" s="669"/>
      <c r="AS34" s="603">
        <f>IF(Build!N324="","",Build!N324)</f>
      </c>
      <c r="AT34" s="603"/>
      <c r="AU34" s="603"/>
      <c r="AV34" s="603"/>
      <c r="AW34" s="603"/>
      <c r="AX34" s="603"/>
      <c r="AY34" s="603"/>
      <c r="AZ34" s="603"/>
      <c r="BA34" s="603"/>
      <c r="BB34" s="603"/>
      <c r="BC34" s="603"/>
      <c r="BD34" s="603"/>
      <c r="BE34" s="603"/>
      <c r="BF34" s="603"/>
      <c r="BG34" s="603"/>
      <c r="BH34" s="603"/>
      <c r="BI34" s="603"/>
      <c r="BJ34" s="603"/>
      <c r="BK34" s="603"/>
      <c r="BL34" s="603"/>
      <c r="BM34" s="603"/>
      <c r="BN34" s="603"/>
      <c r="BO34" s="603"/>
      <c r="BP34" s="603"/>
      <c r="BQ34" s="603"/>
      <c r="BR34" s="669">
        <f>IF(Build!U324=0,"",Build!U324)</f>
      </c>
      <c r="BS34" s="669"/>
      <c r="BT34" s="669"/>
      <c r="BU34" s="669"/>
      <c r="BV34" s="669"/>
      <c r="BW34" s="433">
        <f>IF(Build!V324=0,"",Build!V324)</f>
      </c>
      <c r="BX34" s="433"/>
      <c r="BY34" s="433"/>
      <c r="BZ34" s="433"/>
      <c r="CA34" s="433"/>
      <c r="CB34" s="434"/>
    </row>
    <row r="35" spans="1:80" ht="12.75" customHeight="1">
      <c r="A35" s="674">
        <f>IF(Build!B325="","",Build!B325)</f>
      </c>
      <c r="B35" s="669"/>
      <c r="C35" s="669"/>
      <c r="D35" s="669"/>
      <c r="E35" s="603">
        <f>IF(Build!C325="","",Build!C325)</f>
      </c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69">
        <f>IF(Build!J325=0,"",Build!J325)</f>
      </c>
      <c r="AE35" s="669"/>
      <c r="AF35" s="669"/>
      <c r="AG35" s="669"/>
      <c r="AH35" s="669"/>
      <c r="AI35" s="433">
        <f>IF(Build!K325=0,"",Build!K325)</f>
      </c>
      <c r="AJ35" s="433"/>
      <c r="AK35" s="433"/>
      <c r="AL35" s="433"/>
      <c r="AM35" s="433"/>
      <c r="AN35" s="434"/>
      <c r="AO35" s="674">
        <f>IF(Build!M325="","",Build!M325)</f>
      </c>
      <c r="AP35" s="669"/>
      <c r="AQ35" s="669"/>
      <c r="AR35" s="669"/>
      <c r="AS35" s="603">
        <f>IF(Build!N325="","",Build!N325)</f>
      </c>
      <c r="AT35" s="603"/>
      <c r="AU35" s="603"/>
      <c r="AV35" s="603"/>
      <c r="AW35" s="603"/>
      <c r="AX35" s="603"/>
      <c r="AY35" s="603"/>
      <c r="AZ35" s="603"/>
      <c r="BA35" s="603"/>
      <c r="BB35" s="603"/>
      <c r="BC35" s="603"/>
      <c r="BD35" s="603"/>
      <c r="BE35" s="603"/>
      <c r="BF35" s="603"/>
      <c r="BG35" s="603"/>
      <c r="BH35" s="603"/>
      <c r="BI35" s="603"/>
      <c r="BJ35" s="603"/>
      <c r="BK35" s="603"/>
      <c r="BL35" s="603"/>
      <c r="BM35" s="603"/>
      <c r="BN35" s="603"/>
      <c r="BO35" s="603"/>
      <c r="BP35" s="603"/>
      <c r="BQ35" s="603"/>
      <c r="BR35" s="669">
        <f>IF(Build!U325=0,"",Build!U325)</f>
      </c>
      <c r="BS35" s="669"/>
      <c r="BT35" s="669"/>
      <c r="BU35" s="669"/>
      <c r="BV35" s="669"/>
      <c r="BW35" s="433">
        <f>IF(Build!V325=0,"",Build!V325)</f>
      </c>
      <c r="BX35" s="433"/>
      <c r="BY35" s="433"/>
      <c r="BZ35" s="433"/>
      <c r="CA35" s="433"/>
      <c r="CB35" s="434"/>
    </row>
    <row r="36" spans="1:80" ht="12.75" customHeight="1">
      <c r="A36" s="674">
        <f>IF(Build!B326="","",Build!B326)</f>
      </c>
      <c r="B36" s="669"/>
      <c r="C36" s="669"/>
      <c r="D36" s="669"/>
      <c r="E36" s="603">
        <f>IF(Build!C326="","",Build!C326)</f>
      </c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C36" s="603"/>
      <c r="AD36" s="669">
        <f>IF(Build!J326=0,"",Build!J326)</f>
      </c>
      <c r="AE36" s="669"/>
      <c r="AF36" s="669"/>
      <c r="AG36" s="669"/>
      <c r="AH36" s="669"/>
      <c r="AI36" s="433">
        <f>IF(Build!K326=0,"",Build!K326)</f>
      </c>
      <c r="AJ36" s="433"/>
      <c r="AK36" s="433"/>
      <c r="AL36" s="433"/>
      <c r="AM36" s="433"/>
      <c r="AN36" s="434"/>
      <c r="AO36" s="674">
        <f>IF(Build!M326="","",Build!M326)</f>
      </c>
      <c r="AP36" s="669"/>
      <c r="AQ36" s="669"/>
      <c r="AR36" s="669"/>
      <c r="AS36" s="603">
        <f>IF(Build!N326="","",Build!N326)</f>
      </c>
      <c r="AT36" s="603"/>
      <c r="AU36" s="603"/>
      <c r="AV36" s="603"/>
      <c r="AW36" s="603"/>
      <c r="AX36" s="603"/>
      <c r="AY36" s="603"/>
      <c r="AZ36" s="603"/>
      <c r="BA36" s="603"/>
      <c r="BB36" s="603"/>
      <c r="BC36" s="603"/>
      <c r="BD36" s="603"/>
      <c r="BE36" s="603"/>
      <c r="BF36" s="603"/>
      <c r="BG36" s="603"/>
      <c r="BH36" s="603"/>
      <c r="BI36" s="603"/>
      <c r="BJ36" s="603"/>
      <c r="BK36" s="603"/>
      <c r="BL36" s="603"/>
      <c r="BM36" s="603"/>
      <c r="BN36" s="603"/>
      <c r="BO36" s="603"/>
      <c r="BP36" s="603"/>
      <c r="BQ36" s="603"/>
      <c r="BR36" s="669">
        <f>IF(Build!U326=0,"",Build!U326)</f>
      </c>
      <c r="BS36" s="669"/>
      <c r="BT36" s="669"/>
      <c r="BU36" s="669"/>
      <c r="BV36" s="669"/>
      <c r="BW36" s="433">
        <f>IF(Build!V326=0,"",Build!V326)</f>
      </c>
      <c r="BX36" s="433"/>
      <c r="BY36" s="433"/>
      <c r="BZ36" s="433"/>
      <c r="CA36" s="433"/>
      <c r="CB36" s="434"/>
    </row>
    <row r="37" spans="1:80" ht="12.75" customHeight="1">
      <c r="A37" s="674">
        <f>IF(Build!B327="","",Build!B327)</f>
      </c>
      <c r="B37" s="669"/>
      <c r="C37" s="669"/>
      <c r="D37" s="669"/>
      <c r="E37" s="603">
        <f>IF(Build!C327="","",Build!C327)</f>
      </c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69">
        <f>IF(Build!J327=0,"",Build!J327)</f>
      </c>
      <c r="AE37" s="669"/>
      <c r="AF37" s="669"/>
      <c r="AG37" s="669"/>
      <c r="AH37" s="669"/>
      <c r="AI37" s="433">
        <f>IF(Build!K327=0,"",Build!K327)</f>
      </c>
      <c r="AJ37" s="433"/>
      <c r="AK37" s="433"/>
      <c r="AL37" s="433"/>
      <c r="AM37" s="433"/>
      <c r="AN37" s="434"/>
      <c r="AO37" s="674">
        <f>IF(Build!M327="","",Build!M327)</f>
      </c>
      <c r="AP37" s="669"/>
      <c r="AQ37" s="669"/>
      <c r="AR37" s="669"/>
      <c r="AS37" s="603">
        <f>IF(Build!N327="","",Build!N327)</f>
      </c>
      <c r="AT37" s="603"/>
      <c r="AU37" s="603"/>
      <c r="AV37" s="603"/>
      <c r="AW37" s="603"/>
      <c r="AX37" s="603"/>
      <c r="AY37" s="603"/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3"/>
      <c r="BM37" s="603"/>
      <c r="BN37" s="603"/>
      <c r="BO37" s="603"/>
      <c r="BP37" s="603"/>
      <c r="BQ37" s="603"/>
      <c r="BR37" s="669">
        <f>IF(Build!U327=0,"",Build!U327)</f>
      </c>
      <c r="BS37" s="669"/>
      <c r="BT37" s="669"/>
      <c r="BU37" s="669"/>
      <c r="BV37" s="669"/>
      <c r="BW37" s="433">
        <f>IF(Build!V327=0,"",Build!V327)</f>
      </c>
      <c r="BX37" s="433"/>
      <c r="BY37" s="433"/>
      <c r="BZ37" s="433"/>
      <c r="CA37" s="433"/>
      <c r="CB37" s="434"/>
    </row>
    <row r="38" spans="1:80" ht="12.75" customHeight="1">
      <c r="A38" s="674">
        <f>IF(Build!B328="","",Build!B328)</f>
      </c>
      <c r="B38" s="669"/>
      <c r="C38" s="669"/>
      <c r="D38" s="669"/>
      <c r="E38" s="603">
        <f>IF(Build!C328="","",Build!C328)</f>
      </c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69">
        <f>IF(Build!J328=0,"",Build!J328)</f>
      </c>
      <c r="AE38" s="669"/>
      <c r="AF38" s="669"/>
      <c r="AG38" s="669"/>
      <c r="AH38" s="669"/>
      <c r="AI38" s="433">
        <f>IF(Build!K328=0,"",Build!K328)</f>
      </c>
      <c r="AJ38" s="433"/>
      <c r="AK38" s="433"/>
      <c r="AL38" s="433"/>
      <c r="AM38" s="433"/>
      <c r="AN38" s="434"/>
      <c r="AO38" s="674">
        <f>IF(Build!M328="","",Build!M328)</f>
      </c>
      <c r="AP38" s="669"/>
      <c r="AQ38" s="669"/>
      <c r="AR38" s="669"/>
      <c r="AS38" s="603">
        <f>IF(Build!N328="","",Build!N328)</f>
      </c>
      <c r="AT38" s="603"/>
      <c r="AU38" s="603"/>
      <c r="AV38" s="603"/>
      <c r="AW38" s="603"/>
      <c r="AX38" s="603"/>
      <c r="AY38" s="603"/>
      <c r="AZ38" s="603"/>
      <c r="BA38" s="603"/>
      <c r="BB38" s="603"/>
      <c r="BC38" s="603"/>
      <c r="BD38" s="603"/>
      <c r="BE38" s="603"/>
      <c r="BF38" s="603"/>
      <c r="BG38" s="603"/>
      <c r="BH38" s="603"/>
      <c r="BI38" s="603"/>
      <c r="BJ38" s="603"/>
      <c r="BK38" s="603"/>
      <c r="BL38" s="603"/>
      <c r="BM38" s="603"/>
      <c r="BN38" s="603"/>
      <c r="BO38" s="603"/>
      <c r="BP38" s="603"/>
      <c r="BQ38" s="603"/>
      <c r="BR38" s="669">
        <f>IF(Build!U328=0,"",Build!U328)</f>
      </c>
      <c r="BS38" s="669"/>
      <c r="BT38" s="669"/>
      <c r="BU38" s="669"/>
      <c r="BV38" s="669"/>
      <c r="BW38" s="433">
        <f>IF(Build!V328=0,"",Build!V328)</f>
      </c>
      <c r="BX38" s="433"/>
      <c r="BY38" s="433"/>
      <c r="BZ38" s="433"/>
      <c r="CA38" s="433"/>
      <c r="CB38" s="434"/>
    </row>
    <row r="39" spans="1:80" ht="12.75" customHeight="1">
      <c r="A39" s="674">
        <f>IF(Build!B329="","",Build!B329)</f>
      </c>
      <c r="B39" s="669"/>
      <c r="C39" s="669"/>
      <c r="D39" s="669"/>
      <c r="E39" s="603">
        <f>IF(Build!C329="","",Build!C329)</f>
      </c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/>
      <c r="AA39" s="603"/>
      <c r="AB39" s="603"/>
      <c r="AC39" s="603"/>
      <c r="AD39" s="669">
        <f>IF(Build!J329=0,"",Build!J329)</f>
      </c>
      <c r="AE39" s="669"/>
      <c r="AF39" s="669"/>
      <c r="AG39" s="669"/>
      <c r="AH39" s="669"/>
      <c r="AI39" s="433">
        <f>IF(Build!K329=0,"",Build!K329)</f>
      </c>
      <c r="AJ39" s="433"/>
      <c r="AK39" s="433"/>
      <c r="AL39" s="433"/>
      <c r="AM39" s="433"/>
      <c r="AN39" s="434"/>
      <c r="AO39" s="674">
        <f>IF(Build!M329="","",Build!M329)</f>
      </c>
      <c r="AP39" s="669"/>
      <c r="AQ39" s="669"/>
      <c r="AR39" s="669"/>
      <c r="AS39" s="603">
        <f>IF(Build!N329="","",Build!N329)</f>
      </c>
      <c r="AT39" s="603"/>
      <c r="AU39" s="603"/>
      <c r="AV39" s="603"/>
      <c r="AW39" s="603"/>
      <c r="AX39" s="603"/>
      <c r="AY39" s="603"/>
      <c r="AZ39" s="603"/>
      <c r="BA39" s="603"/>
      <c r="BB39" s="603"/>
      <c r="BC39" s="603"/>
      <c r="BD39" s="603"/>
      <c r="BE39" s="603"/>
      <c r="BF39" s="603"/>
      <c r="BG39" s="603"/>
      <c r="BH39" s="603"/>
      <c r="BI39" s="603"/>
      <c r="BJ39" s="603"/>
      <c r="BK39" s="603"/>
      <c r="BL39" s="603"/>
      <c r="BM39" s="603"/>
      <c r="BN39" s="603"/>
      <c r="BO39" s="603"/>
      <c r="BP39" s="603"/>
      <c r="BQ39" s="603"/>
      <c r="BR39" s="669">
        <f>IF(Build!U329=0,"",Build!U329)</f>
      </c>
      <c r="BS39" s="669"/>
      <c r="BT39" s="669"/>
      <c r="BU39" s="669"/>
      <c r="BV39" s="669"/>
      <c r="BW39" s="433">
        <f>IF(Build!V329=0,"",Build!V329)</f>
      </c>
      <c r="BX39" s="433"/>
      <c r="BY39" s="433"/>
      <c r="BZ39" s="433"/>
      <c r="CA39" s="433"/>
      <c r="CB39" s="434"/>
    </row>
    <row r="40" spans="1:80" ht="12.75" customHeight="1">
      <c r="A40" s="674">
        <f>IF(Build!B330="","",Build!B330)</f>
      </c>
      <c r="B40" s="669"/>
      <c r="C40" s="669"/>
      <c r="D40" s="669"/>
      <c r="E40" s="603">
        <f>IF(Build!C330="","",Build!C330)</f>
      </c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603"/>
      <c r="T40" s="603"/>
      <c r="U40" s="603"/>
      <c r="V40" s="603"/>
      <c r="W40" s="603"/>
      <c r="X40" s="603"/>
      <c r="Y40" s="603"/>
      <c r="Z40" s="603"/>
      <c r="AA40" s="603"/>
      <c r="AB40" s="603"/>
      <c r="AC40" s="603"/>
      <c r="AD40" s="669">
        <f>IF(Build!J330=0,"",Build!J330)</f>
      </c>
      <c r="AE40" s="669"/>
      <c r="AF40" s="669"/>
      <c r="AG40" s="669"/>
      <c r="AH40" s="669"/>
      <c r="AI40" s="433">
        <f>IF(Build!K330=0,"",Build!K330)</f>
      </c>
      <c r="AJ40" s="433"/>
      <c r="AK40" s="433"/>
      <c r="AL40" s="433"/>
      <c r="AM40" s="433"/>
      <c r="AN40" s="434"/>
      <c r="AO40" s="674">
        <f>IF(Build!M330="","",Build!M330)</f>
      </c>
      <c r="AP40" s="669"/>
      <c r="AQ40" s="669"/>
      <c r="AR40" s="669"/>
      <c r="AS40" s="603">
        <f>IF(Build!N330="","",Build!N330)</f>
      </c>
      <c r="AT40" s="603"/>
      <c r="AU40" s="603"/>
      <c r="AV40" s="603"/>
      <c r="AW40" s="603"/>
      <c r="AX40" s="603"/>
      <c r="AY40" s="603"/>
      <c r="AZ40" s="603"/>
      <c r="BA40" s="603"/>
      <c r="BB40" s="603"/>
      <c r="BC40" s="603"/>
      <c r="BD40" s="603"/>
      <c r="BE40" s="603"/>
      <c r="BF40" s="603"/>
      <c r="BG40" s="603"/>
      <c r="BH40" s="603"/>
      <c r="BI40" s="603"/>
      <c r="BJ40" s="603"/>
      <c r="BK40" s="603"/>
      <c r="BL40" s="603"/>
      <c r="BM40" s="603"/>
      <c r="BN40" s="603"/>
      <c r="BO40" s="603"/>
      <c r="BP40" s="603"/>
      <c r="BQ40" s="603"/>
      <c r="BR40" s="669">
        <f>IF(Build!U330=0,"",Build!U330)</f>
      </c>
      <c r="BS40" s="669"/>
      <c r="BT40" s="669"/>
      <c r="BU40" s="669"/>
      <c r="BV40" s="669"/>
      <c r="BW40" s="433">
        <f>IF(Build!V330=0,"",Build!V330)</f>
      </c>
      <c r="BX40" s="433"/>
      <c r="BY40" s="433"/>
      <c r="BZ40" s="433"/>
      <c r="CA40" s="433"/>
      <c r="CB40" s="434"/>
    </row>
    <row r="41" spans="1:80" ht="12.75" customHeight="1">
      <c r="A41" s="674">
        <f>IF(Build!B331="","",Build!B331)</f>
      </c>
      <c r="B41" s="669"/>
      <c r="C41" s="669"/>
      <c r="D41" s="669"/>
      <c r="E41" s="603">
        <f>IF(Build!C331="","",Build!C331)</f>
      </c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3"/>
      <c r="W41" s="603"/>
      <c r="X41" s="603"/>
      <c r="Y41" s="603"/>
      <c r="Z41" s="603"/>
      <c r="AA41" s="603"/>
      <c r="AB41" s="603"/>
      <c r="AC41" s="603"/>
      <c r="AD41" s="669">
        <f>IF(Build!J331=0,"",Build!J331)</f>
      </c>
      <c r="AE41" s="669"/>
      <c r="AF41" s="669"/>
      <c r="AG41" s="669"/>
      <c r="AH41" s="669"/>
      <c r="AI41" s="433">
        <f>IF(Build!K331=0,"",Build!K331)</f>
      </c>
      <c r="AJ41" s="433"/>
      <c r="AK41" s="433"/>
      <c r="AL41" s="433"/>
      <c r="AM41" s="433"/>
      <c r="AN41" s="434"/>
      <c r="AO41" s="674">
        <f>IF(Build!M331="","",Build!M331)</f>
      </c>
      <c r="AP41" s="669"/>
      <c r="AQ41" s="669"/>
      <c r="AR41" s="669"/>
      <c r="AS41" s="603">
        <f>IF(Build!N331="","",Build!N331)</f>
      </c>
      <c r="AT41" s="603"/>
      <c r="AU41" s="603"/>
      <c r="AV41" s="603"/>
      <c r="AW41" s="603"/>
      <c r="AX41" s="603"/>
      <c r="AY41" s="603"/>
      <c r="AZ41" s="603"/>
      <c r="BA41" s="603"/>
      <c r="BB41" s="603"/>
      <c r="BC41" s="603"/>
      <c r="BD41" s="603"/>
      <c r="BE41" s="603"/>
      <c r="BF41" s="603"/>
      <c r="BG41" s="603"/>
      <c r="BH41" s="603"/>
      <c r="BI41" s="603"/>
      <c r="BJ41" s="603"/>
      <c r="BK41" s="603"/>
      <c r="BL41" s="603"/>
      <c r="BM41" s="603"/>
      <c r="BN41" s="603"/>
      <c r="BO41" s="603"/>
      <c r="BP41" s="603"/>
      <c r="BQ41" s="603"/>
      <c r="BR41" s="669">
        <f>IF(Build!U331=0,"",Build!U331)</f>
      </c>
      <c r="BS41" s="669"/>
      <c r="BT41" s="669"/>
      <c r="BU41" s="669"/>
      <c r="BV41" s="669"/>
      <c r="BW41" s="433">
        <f>IF(Build!V331=0,"",Build!V331)</f>
      </c>
      <c r="BX41" s="433"/>
      <c r="BY41" s="433"/>
      <c r="BZ41" s="433"/>
      <c r="CA41" s="433"/>
      <c r="CB41" s="434"/>
    </row>
    <row r="42" spans="1:80" ht="12.75" customHeight="1" thickBot="1">
      <c r="A42" s="672">
        <f>IF(Build!B332="","",Build!B332)</f>
      </c>
      <c r="B42" s="673"/>
      <c r="C42" s="673"/>
      <c r="D42" s="673"/>
      <c r="E42" s="610">
        <f>IF(Build!C332="","",Build!C332)</f>
      </c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610"/>
      <c r="T42" s="610"/>
      <c r="U42" s="610"/>
      <c r="V42" s="610"/>
      <c r="W42" s="610"/>
      <c r="X42" s="610"/>
      <c r="Y42" s="610"/>
      <c r="Z42" s="610"/>
      <c r="AA42" s="610"/>
      <c r="AB42" s="610"/>
      <c r="AC42" s="610"/>
      <c r="AD42" s="673">
        <f>IF(Build!J332=0,"",Build!J332)</f>
      </c>
      <c r="AE42" s="673"/>
      <c r="AF42" s="673"/>
      <c r="AG42" s="673"/>
      <c r="AH42" s="673"/>
      <c r="AI42" s="578">
        <f>IF(Build!K332=0,"",Build!K332)</f>
      </c>
      <c r="AJ42" s="578"/>
      <c r="AK42" s="578"/>
      <c r="AL42" s="578"/>
      <c r="AM42" s="578"/>
      <c r="AN42" s="580"/>
      <c r="AO42" s="672">
        <f>IF(Build!M332="","",Build!M332)</f>
      </c>
      <c r="AP42" s="673"/>
      <c r="AQ42" s="673"/>
      <c r="AR42" s="673"/>
      <c r="AS42" s="610">
        <f>IF(Build!N332="","",Build!N332)</f>
      </c>
      <c r="AT42" s="610"/>
      <c r="AU42" s="610"/>
      <c r="AV42" s="610"/>
      <c r="AW42" s="610"/>
      <c r="AX42" s="610"/>
      <c r="AY42" s="610"/>
      <c r="AZ42" s="610"/>
      <c r="BA42" s="610"/>
      <c r="BB42" s="610"/>
      <c r="BC42" s="610"/>
      <c r="BD42" s="610"/>
      <c r="BE42" s="610"/>
      <c r="BF42" s="610"/>
      <c r="BG42" s="610"/>
      <c r="BH42" s="610"/>
      <c r="BI42" s="610"/>
      <c r="BJ42" s="610"/>
      <c r="BK42" s="610"/>
      <c r="BL42" s="610"/>
      <c r="BM42" s="610"/>
      <c r="BN42" s="610"/>
      <c r="BO42" s="610"/>
      <c r="BP42" s="610"/>
      <c r="BQ42" s="610"/>
      <c r="BR42" s="673">
        <f>IF(Build!U332=0,"",Build!U332)</f>
      </c>
      <c r="BS42" s="673"/>
      <c r="BT42" s="673"/>
      <c r="BU42" s="673"/>
      <c r="BV42" s="673"/>
      <c r="BW42" s="578">
        <f>IF(Build!V332=0,"",Build!V332)</f>
      </c>
      <c r="BX42" s="578"/>
      <c r="BY42" s="578"/>
      <c r="BZ42" s="578"/>
      <c r="CA42" s="578"/>
      <c r="CB42" s="580"/>
    </row>
  </sheetData>
  <mergeCells count="308">
    <mergeCell ref="E42:AC42"/>
    <mergeCell ref="AD42:AH42"/>
    <mergeCell ref="AI42:AN42"/>
    <mergeCell ref="AH2:AM2"/>
    <mergeCell ref="AH3:AM3"/>
    <mergeCell ref="AI12:AN12"/>
    <mergeCell ref="AI8:AN8"/>
    <mergeCell ref="AI9:AN9"/>
    <mergeCell ref="AI10:AN10"/>
    <mergeCell ref="AI11:AN11"/>
    <mergeCell ref="A13:D13"/>
    <mergeCell ref="E13:AC13"/>
    <mergeCell ref="AD13:AH13"/>
    <mergeCell ref="AI13:AN13"/>
    <mergeCell ref="AS42:BQ42"/>
    <mergeCell ref="A6:D6"/>
    <mergeCell ref="E6:AC6"/>
    <mergeCell ref="AD6:AH6"/>
    <mergeCell ref="AI6:AN6"/>
    <mergeCell ref="A7:D7"/>
    <mergeCell ref="E7:AC7"/>
    <mergeCell ref="AD7:AH7"/>
    <mergeCell ref="AI7:AN7"/>
    <mergeCell ref="A8:D8"/>
    <mergeCell ref="BR39:BV39"/>
    <mergeCell ref="BR40:BV40"/>
    <mergeCell ref="BR41:BV41"/>
    <mergeCell ref="BR42:BV42"/>
    <mergeCell ref="BR31:BV31"/>
    <mergeCell ref="BR32:BV32"/>
    <mergeCell ref="BR33:BV33"/>
    <mergeCell ref="BR34:BV34"/>
    <mergeCell ref="BR27:BV27"/>
    <mergeCell ref="BR28:BV28"/>
    <mergeCell ref="BR29:BV29"/>
    <mergeCell ref="BR30:BV30"/>
    <mergeCell ref="BR14:BV14"/>
    <mergeCell ref="BR15:BV15"/>
    <mergeCell ref="BR16:BV16"/>
    <mergeCell ref="BR17:BV17"/>
    <mergeCell ref="BR10:BV10"/>
    <mergeCell ref="BR11:BV11"/>
    <mergeCell ref="BR12:BV12"/>
    <mergeCell ref="BR13:BV13"/>
    <mergeCell ref="BR6:BV6"/>
    <mergeCell ref="BR7:BV7"/>
    <mergeCell ref="BR8:BV8"/>
    <mergeCell ref="BR9:BV9"/>
    <mergeCell ref="AO42:AR42"/>
    <mergeCell ref="BW6:CB6"/>
    <mergeCell ref="BW7:CB7"/>
    <mergeCell ref="BW8:CB8"/>
    <mergeCell ref="BW9:CB9"/>
    <mergeCell ref="BW10:CB10"/>
    <mergeCell ref="BW11:CB11"/>
    <mergeCell ref="BW12:CB12"/>
    <mergeCell ref="BW13:CB13"/>
    <mergeCell ref="BW14:CB14"/>
    <mergeCell ref="AO6:AR6"/>
    <mergeCell ref="AO7:AR7"/>
    <mergeCell ref="AO8:AR8"/>
    <mergeCell ref="AO9:AR9"/>
    <mergeCell ref="AO10:AR10"/>
    <mergeCell ref="AO11:AR11"/>
    <mergeCell ref="AO12:AR12"/>
    <mergeCell ref="AO13:AR13"/>
    <mergeCell ref="AI14:AN14"/>
    <mergeCell ref="AI15:AN15"/>
    <mergeCell ref="AO18:AR18"/>
    <mergeCell ref="AO19:AR19"/>
    <mergeCell ref="AO14:AR14"/>
    <mergeCell ref="AO15:AR15"/>
    <mergeCell ref="AO16:AR16"/>
    <mergeCell ref="AO17:AR17"/>
    <mergeCell ref="AO20:AR20"/>
    <mergeCell ref="AO21:AR21"/>
    <mergeCell ref="AI18:AN18"/>
    <mergeCell ref="AI19:AN19"/>
    <mergeCell ref="AI20:AN20"/>
    <mergeCell ref="AO22:AR22"/>
    <mergeCell ref="AO23:AR23"/>
    <mergeCell ref="AO24:AR24"/>
    <mergeCell ref="AO25:AR25"/>
    <mergeCell ref="AO28:AR28"/>
    <mergeCell ref="AO29:AR29"/>
    <mergeCell ref="AI26:AN26"/>
    <mergeCell ref="AI27:AN27"/>
    <mergeCell ref="AO26:AR26"/>
    <mergeCell ref="AO27:AR27"/>
    <mergeCell ref="AO30:AR30"/>
    <mergeCell ref="AO31:AR31"/>
    <mergeCell ref="AO32:AR32"/>
    <mergeCell ref="AO33:AR33"/>
    <mergeCell ref="AO39:AR39"/>
    <mergeCell ref="AO40:AR40"/>
    <mergeCell ref="AO41:AR41"/>
    <mergeCell ref="AO36:AR36"/>
    <mergeCell ref="AO37:AR37"/>
    <mergeCell ref="AD18:AH18"/>
    <mergeCell ref="AD19:AH19"/>
    <mergeCell ref="AD20:AH20"/>
    <mergeCell ref="AO38:AR38"/>
    <mergeCell ref="AI34:AN34"/>
    <mergeCell ref="AI35:AN35"/>
    <mergeCell ref="AI30:AN30"/>
    <mergeCell ref="AI31:AN31"/>
    <mergeCell ref="AO34:AR34"/>
    <mergeCell ref="AO35:AR35"/>
    <mergeCell ref="AD16:AH16"/>
    <mergeCell ref="AI16:AN16"/>
    <mergeCell ref="AD17:AH17"/>
    <mergeCell ref="AI17:AN17"/>
    <mergeCell ref="AD21:AH21"/>
    <mergeCell ref="AI21:AN21"/>
    <mergeCell ref="AD22:AH22"/>
    <mergeCell ref="AD23:AH23"/>
    <mergeCell ref="AI22:AN22"/>
    <mergeCell ref="AI23:AN23"/>
    <mergeCell ref="AD24:AH24"/>
    <mergeCell ref="AI24:AN24"/>
    <mergeCell ref="AD25:AH25"/>
    <mergeCell ref="AI25:AN25"/>
    <mergeCell ref="AD26:AH26"/>
    <mergeCell ref="AD27:AH27"/>
    <mergeCell ref="AD28:AH28"/>
    <mergeCell ref="AI28:AN28"/>
    <mergeCell ref="AD29:AH29"/>
    <mergeCell ref="AI29:AN29"/>
    <mergeCell ref="AD30:AH30"/>
    <mergeCell ref="AD31:AH31"/>
    <mergeCell ref="AD32:AH32"/>
    <mergeCell ref="AI32:AN32"/>
    <mergeCell ref="AD33:AH33"/>
    <mergeCell ref="AI33:AN33"/>
    <mergeCell ref="AD34:AH34"/>
    <mergeCell ref="AD35:AH35"/>
    <mergeCell ref="AD36:AH36"/>
    <mergeCell ref="AI36:AN36"/>
    <mergeCell ref="AD37:AH37"/>
    <mergeCell ref="AI37:AN37"/>
    <mergeCell ref="AD38:AH38"/>
    <mergeCell ref="AD39:AH39"/>
    <mergeCell ref="AI38:AN38"/>
    <mergeCell ref="AI39:AN39"/>
    <mergeCell ref="AD40:AH40"/>
    <mergeCell ref="AI40:AN40"/>
    <mergeCell ref="AD41:AH41"/>
    <mergeCell ref="AI41:AN41"/>
    <mergeCell ref="BW15:CB15"/>
    <mergeCell ref="BW16:CB16"/>
    <mergeCell ref="BW17:CB17"/>
    <mergeCell ref="BW18:CB18"/>
    <mergeCell ref="BW19:CB19"/>
    <mergeCell ref="BW20:CB20"/>
    <mergeCell ref="BW21:CB21"/>
    <mergeCell ref="BW22:CB22"/>
    <mergeCell ref="BW23:CB23"/>
    <mergeCell ref="BW24:CB24"/>
    <mergeCell ref="BW25:CB25"/>
    <mergeCell ref="BW26:CB26"/>
    <mergeCell ref="BW27:CB27"/>
    <mergeCell ref="BW28:CB28"/>
    <mergeCell ref="BW29:CB29"/>
    <mergeCell ref="BW30:CB30"/>
    <mergeCell ref="BW31:CB31"/>
    <mergeCell ref="BW32:CB32"/>
    <mergeCell ref="BW33:CB33"/>
    <mergeCell ref="BW34:CB34"/>
    <mergeCell ref="BW35:CB35"/>
    <mergeCell ref="BW36:CB36"/>
    <mergeCell ref="BW37:CB37"/>
    <mergeCell ref="BW38:CB38"/>
    <mergeCell ref="BW39:CB39"/>
    <mergeCell ref="BW40:CB40"/>
    <mergeCell ref="BW41:CB41"/>
    <mergeCell ref="BW42:CB42"/>
    <mergeCell ref="AS6:BQ6"/>
    <mergeCell ref="AS7:BQ7"/>
    <mergeCell ref="AS8:BQ8"/>
    <mergeCell ref="AS9:BQ9"/>
    <mergeCell ref="AS10:BQ10"/>
    <mergeCell ref="AS11:BQ11"/>
    <mergeCell ref="AS12:BQ12"/>
    <mergeCell ref="AS13:BQ13"/>
    <mergeCell ref="AS14:BQ14"/>
    <mergeCell ref="AS15:BQ15"/>
    <mergeCell ref="AS16:BQ16"/>
    <mergeCell ref="AS17:BQ17"/>
    <mergeCell ref="AS18:BQ18"/>
    <mergeCell ref="AS19:BQ19"/>
    <mergeCell ref="AS20:BQ20"/>
    <mergeCell ref="AS21:BQ21"/>
    <mergeCell ref="AS22:BQ22"/>
    <mergeCell ref="AS23:BQ23"/>
    <mergeCell ref="AS24:BQ24"/>
    <mergeCell ref="AS25:BQ25"/>
    <mergeCell ref="AS32:BQ32"/>
    <mergeCell ref="AS33:BQ33"/>
    <mergeCell ref="AS26:BQ26"/>
    <mergeCell ref="AS27:BQ27"/>
    <mergeCell ref="AS28:BQ28"/>
    <mergeCell ref="AS29:BQ29"/>
    <mergeCell ref="AS39:BQ39"/>
    <mergeCell ref="AS40:BQ40"/>
    <mergeCell ref="AS41:BQ41"/>
    <mergeCell ref="AS34:BQ34"/>
    <mergeCell ref="AS35:BQ35"/>
    <mergeCell ref="AS36:BQ36"/>
    <mergeCell ref="AS37:BQ37"/>
    <mergeCell ref="A9:D9"/>
    <mergeCell ref="A10:D10"/>
    <mergeCell ref="A11:D11"/>
    <mergeCell ref="A12:D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E8:AC8"/>
    <mergeCell ref="AD8:AH8"/>
    <mergeCell ref="E9:AC9"/>
    <mergeCell ref="AD9:AH9"/>
    <mergeCell ref="E10:AC10"/>
    <mergeCell ref="AD10:AH10"/>
    <mergeCell ref="E11:AC11"/>
    <mergeCell ref="AD11:AH11"/>
    <mergeCell ref="E12:AC12"/>
    <mergeCell ref="AD12:AH12"/>
    <mergeCell ref="E14:AC14"/>
    <mergeCell ref="AD14:AH14"/>
    <mergeCell ref="E15:AC15"/>
    <mergeCell ref="AD15:AH15"/>
    <mergeCell ref="E16:AC16"/>
    <mergeCell ref="E17:AC17"/>
    <mergeCell ref="E18:AC18"/>
    <mergeCell ref="E19:AC19"/>
    <mergeCell ref="E20:AC20"/>
    <mergeCell ref="E21:AC21"/>
    <mergeCell ref="E22:AC22"/>
    <mergeCell ref="E23:AC23"/>
    <mergeCell ref="E24:AC24"/>
    <mergeCell ref="E25:AC25"/>
    <mergeCell ref="E26:AC26"/>
    <mergeCell ref="E27:AC27"/>
    <mergeCell ref="E28:AC28"/>
    <mergeCell ref="E29:AC29"/>
    <mergeCell ref="E30:AC30"/>
    <mergeCell ref="E31:AC31"/>
    <mergeCell ref="E32:AC32"/>
    <mergeCell ref="E33:AC33"/>
    <mergeCell ref="E34:AC34"/>
    <mergeCell ref="E35:AC35"/>
    <mergeCell ref="E36:AC36"/>
    <mergeCell ref="E37:AC37"/>
    <mergeCell ref="E38:AC38"/>
    <mergeCell ref="E39:AC39"/>
    <mergeCell ref="E40:AC40"/>
    <mergeCell ref="E41:AC41"/>
    <mergeCell ref="BR18:BV18"/>
    <mergeCell ref="BR19:BV19"/>
    <mergeCell ref="BR20:BV20"/>
    <mergeCell ref="BR21:BV21"/>
    <mergeCell ref="BR22:BV22"/>
    <mergeCell ref="BR23:BV23"/>
    <mergeCell ref="BR24:BV24"/>
    <mergeCell ref="BR25:BV25"/>
    <mergeCell ref="BR38:BV38"/>
    <mergeCell ref="AW2:BB2"/>
    <mergeCell ref="AW3:BB3"/>
    <mergeCell ref="BR26:BV26"/>
    <mergeCell ref="BR35:BV35"/>
    <mergeCell ref="BR36:BV36"/>
    <mergeCell ref="BR37:BV37"/>
    <mergeCell ref="AS38:BQ38"/>
    <mergeCell ref="AS30:BQ30"/>
    <mergeCell ref="AS31:BQ31"/>
    <mergeCell ref="AI5:AN5"/>
    <mergeCell ref="AD5:AH5"/>
    <mergeCell ref="E5:AC5"/>
    <mergeCell ref="A5:D5"/>
    <mergeCell ref="AO5:AR5"/>
    <mergeCell ref="AS5:BQ5"/>
    <mergeCell ref="BR5:BV5"/>
    <mergeCell ref="BW5:CB5"/>
  </mergeCells>
  <printOptions horizontalCentered="1" verticalCentered="1"/>
  <pageMargins left="0" right="0" top="0.393700787" bottom="0.393700787" header="0" footer="0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CF42"/>
  <sheetViews>
    <sheetView view="pageBreakPreview" zoomScale="60" zoomScaleNormal="75" workbookViewId="0" topLeftCell="A1">
      <selection activeCell="BS4" sqref="BS4:BT4"/>
    </sheetView>
  </sheetViews>
  <sheetFormatPr defaultColWidth="9.33203125" defaultRowHeight="12.75" customHeight="1"/>
  <cols>
    <col min="1" max="16384" width="1.83203125" style="1" customWidth="1"/>
  </cols>
  <sheetData>
    <row r="1" spans="1:84" ht="12.75" customHeight="1">
      <c r="A1" s="680" t="s">
        <v>855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343"/>
      <c r="AR1" s="346">
        <f ca="1">IF(Build!BN499,OFFSET(Build!BP$498,Build!BN499,0),"")</f>
      </c>
      <c r="AS1" s="331"/>
      <c r="AT1" s="331"/>
      <c r="AU1" s="331"/>
      <c r="AV1" s="331"/>
      <c r="AW1" s="331"/>
      <c r="AX1" s="331"/>
      <c r="AY1" s="331"/>
      <c r="AZ1" s="331"/>
      <c r="BA1" s="347">
        <f ca="1">IF(Build!BN503,OFFSET(Build!BP$498,Build!BN503,0),"")</f>
      </c>
      <c r="BB1" s="331"/>
      <c r="BC1" s="331"/>
      <c r="BD1" s="331"/>
      <c r="BE1" s="331"/>
      <c r="BF1" s="331"/>
      <c r="BG1" s="331"/>
      <c r="BH1" s="331"/>
      <c r="BI1" s="341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30"/>
      <c r="CC1" s="30"/>
      <c r="CD1" s="30"/>
      <c r="CE1" s="30"/>
      <c r="CF1" s="199"/>
    </row>
    <row r="2" spans="1:84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343"/>
      <c r="AR2" s="5">
        <f ca="1">IF(Build!BN500,OFFSET(Build!BP$498,Build!BN500,0),"")</f>
      </c>
      <c r="AS2" s="6"/>
      <c r="AT2" s="6"/>
      <c r="AU2" s="6"/>
      <c r="AV2" s="6"/>
      <c r="AW2" s="6"/>
      <c r="AX2" s="6"/>
      <c r="AY2" s="6"/>
      <c r="AZ2" s="6"/>
      <c r="BA2" s="292">
        <f ca="1">IF(Build!BN504,OFFSET(Build!BP$498,Build!BN504,0),"")</f>
      </c>
      <c r="BB2" s="6"/>
      <c r="BC2" s="6"/>
      <c r="BD2" s="6"/>
      <c r="BE2" s="6"/>
      <c r="BF2" s="6"/>
      <c r="BG2" s="6"/>
      <c r="BH2" s="6"/>
      <c r="BI2" s="11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Build!V481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Build!W481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</row>
    <row r="3" spans="1:84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343"/>
      <c r="AR3" s="5">
        <f ca="1">IF(Build!BN501,OFFSET(Build!BP$498,Build!BN501,0),"")</f>
      </c>
      <c r="AS3" s="6"/>
      <c r="AT3" s="6"/>
      <c r="AU3" s="6"/>
      <c r="AV3" s="6"/>
      <c r="AW3" s="6"/>
      <c r="AX3" s="6"/>
      <c r="AY3" s="6"/>
      <c r="AZ3" s="6"/>
      <c r="BA3" s="292">
        <f ca="1">IF(Build!BN505,OFFSET(Build!BP$498,Build!BN505,0),"")</f>
      </c>
      <c r="BB3" s="6"/>
      <c r="BC3" s="6"/>
      <c r="BD3" s="6"/>
      <c r="BE3" s="6"/>
      <c r="BF3" s="6"/>
      <c r="BG3" s="6"/>
      <c r="BH3" s="6"/>
      <c r="BI3" s="11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</row>
    <row r="4" spans="1:84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343"/>
      <c r="AR4" s="14">
        <f ca="1">IF(Build!BN502,OFFSET(Build!BP$498,Build!BN502,0),"")</f>
      </c>
      <c r="AS4" s="12"/>
      <c r="AT4" s="12"/>
      <c r="AU4" s="12"/>
      <c r="AV4" s="12"/>
      <c r="AW4" s="12"/>
      <c r="AX4" s="12"/>
      <c r="AY4" s="12"/>
      <c r="AZ4" s="12"/>
      <c r="BA4" s="291">
        <f ca="1">IF(Build!BN506,OFFSET(Build!BP$498,Build!BN506,0),"")</f>
      </c>
      <c r="BB4" s="12"/>
      <c r="BC4" s="12"/>
      <c r="BD4" s="12"/>
      <c r="BE4" s="12"/>
      <c r="BF4" s="12"/>
      <c r="BG4" s="12"/>
      <c r="BH4" s="12"/>
      <c r="BI4" s="13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</row>
    <row r="5" spans="1:58" ht="12.75" customHeight="1" thickBot="1">
      <c r="A5" s="681"/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344"/>
      <c r="AR5" s="344"/>
      <c r="BB5" s="348"/>
      <c r="BC5" s="348"/>
      <c r="BD5" s="348"/>
      <c r="BE5" s="348"/>
      <c r="BF5" s="348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IF(Build!AA499,OFFSET(Spells!B$2,Build!AA499,0),"")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IF(Build!AA499,OFFSET(Spells!C$2,Build!AA499,0),"")</f>
      </c>
      <c r="T7" s="433"/>
      <c r="U7" s="433"/>
      <c r="V7" s="433">
        <f ca="1">IF(Build!AA499,OFFSET(Spells!D$2,Build!AA499,0),"")</f>
      </c>
      <c r="W7" s="433"/>
      <c r="X7" s="433"/>
      <c r="Y7" s="678">
        <f ca="1">IF(Build!AA499,OFFSET(Spells!E$2,Build!AA499,0),"")</f>
      </c>
      <c r="Z7" s="678"/>
      <c r="AA7" s="678"/>
      <c r="AB7" s="678"/>
      <c r="AC7" s="678"/>
      <c r="AD7" s="433">
        <f ca="1">IF(Build!AA499,OFFSET(Spells!F$2,Build!AA499,0),"")</f>
      </c>
      <c r="AE7" s="433"/>
      <c r="AF7" s="433"/>
      <c r="AG7" s="433"/>
      <c r="AH7" s="433"/>
      <c r="AI7" s="433">
        <f ca="1">IF(Build!AA499,OFFSET(Spells!G$2,Build!AA499,0),"")</f>
      </c>
      <c r="AJ7" s="433"/>
      <c r="AK7" s="433"/>
      <c r="AL7" s="433"/>
      <c r="AM7" s="433"/>
      <c r="AN7" s="433"/>
      <c r="AO7" s="433">
        <f ca="1">IF(AND(Build!AA499,LEN(OFFSET(Spells!H$2,Build!AA499,0))&lt;5),OFFSET(Spells!H$2,Build!AA499,0),"")</f>
      </c>
      <c r="AP7" s="433"/>
      <c r="AQ7" s="433"/>
      <c r="AR7" s="148">
        <f aca="true" t="shared" si="0" ref="AR7:AR42"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aca="true" ca="1" t="shared" si="1" ref="AU7:AU42">IF(AS7&lt;&gt;"",OFFSET(ActionDice,AS7,0),"")</f>
      </c>
      <c r="AV7" s="433"/>
      <c r="AW7" s="433"/>
      <c r="AX7" s="433"/>
      <c r="AY7" s="433"/>
      <c r="AZ7" s="433"/>
      <c r="BA7" s="433"/>
      <c r="BB7" s="433">
        <f ca="1">IF(Build!AA499,OFFSET(Spells!I$2,Build!AA499,0),"")</f>
      </c>
      <c r="BC7" s="433"/>
      <c r="BD7" s="433"/>
      <c r="BE7" s="433"/>
      <c r="BF7" s="433"/>
      <c r="BG7" s="621">
        <f ca="1">IF(Build!AA499,OFFSET(Spells!J$2,Build!AA499,0),"")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IF(Build!AA500,OFFSET(Spells!B$2,Build!AA500,0),"")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IF(Build!AA500,OFFSET(Spells!C$2,Build!AA500,0),"")</f>
      </c>
      <c r="T8" s="433"/>
      <c r="U8" s="433"/>
      <c r="V8" s="433">
        <f ca="1">IF(Build!AA500,OFFSET(Spells!D$2,Build!AA500,0),"")</f>
      </c>
      <c r="W8" s="433"/>
      <c r="X8" s="433"/>
      <c r="Y8" s="678">
        <f ca="1">IF(Build!AA500,OFFSET(Spells!E$2,Build!AA500,0),"")</f>
      </c>
      <c r="Z8" s="678"/>
      <c r="AA8" s="678"/>
      <c r="AB8" s="678"/>
      <c r="AC8" s="678"/>
      <c r="AD8" s="433">
        <f ca="1">IF(Build!AA500,OFFSET(Spells!F$2,Build!AA500,0),"")</f>
      </c>
      <c r="AE8" s="433"/>
      <c r="AF8" s="433"/>
      <c r="AG8" s="433"/>
      <c r="AH8" s="433"/>
      <c r="AI8" s="433">
        <f ca="1">IF(Build!AA500,OFFSET(Spells!G$2,Build!AA500,0),"")</f>
      </c>
      <c r="AJ8" s="433"/>
      <c r="AK8" s="433"/>
      <c r="AL8" s="433"/>
      <c r="AM8" s="433"/>
      <c r="AN8" s="433"/>
      <c r="AO8" s="433">
        <f ca="1">IF(AND(Build!AA500,LEN(OFFSET(Spells!H$2,Build!AA500,0))&lt;5),OFFSET(Spells!H$2,Build!AA500,0),"")</f>
      </c>
      <c r="AP8" s="433"/>
      <c r="AQ8" s="433"/>
      <c r="AR8" s="148">
        <f t="shared" si="0"/>
      </c>
      <c r="AS8" s="433">
        <f>IF(AO8&lt;&gt;"",VLOOKUP(LEFT(AO8,FIND("+",AO8&amp;"+")-1),Build!X$480:Y$486,2,0)+IF(LEN(AO8)&gt;2,MID(AO8,FIND("+",AO8&amp;"+")+1,2),0),"")</f>
      </c>
      <c r="AT8" s="433"/>
      <c r="AU8" s="433">
        <f ca="1" t="shared" si="1"/>
      </c>
      <c r="AV8" s="433"/>
      <c r="AW8" s="433"/>
      <c r="AX8" s="433"/>
      <c r="AY8" s="433"/>
      <c r="AZ8" s="433"/>
      <c r="BA8" s="433"/>
      <c r="BB8" s="433">
        <f ca="1">IF(Build!AA500,OFFSET(Spells!I$2,Build!AA500,0),"")</f>
      </c>
      <c r="BC8" s="433"/>
      <c r="BD8" s="433"/>
      <c r="BE8" s="433"/>
      <c r="BF8" s="433"/>
      <c r="BG8" s="621">
        <f ca="1">IF(Build!AA500,OFFSET(Spells!J$2,Build!AA500,0),"")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IF(Build!AA501,OFFSET(Spells!B$2,Build!AA501,0),"")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IF(Build!AA501,OFFSET(Spells!C$2,Build!AA501,0),"")</f>
      </c>
      <c r="T9" s="433"/>
      <c r="U9" s="433"/>
      <c r="V9" s="433">
        <f ca="1">IF(Build!AA501,OFFSET(Spells!D$2,Build!AA501,0),"")</f>
      </c>
      <c r="W9" s="433"/>
      <c r="X9" s="433"/>
      <c r="Y9" s="678">
        <f ca="1">IF(Build!AA501,OFFSET(Spells!E$2,Build!AA501,0),"")</f>
      </c>
      <c r="Z9" s="678"/>
      <c r="AA9" s="678"/>
      <c r="AB9" s="678"/>
      <c r="AC9" s="678"/>
      <c r="AD9" s="433">
        <f ca="1">IF(Build!AA501,OFFSET(Spells!F$2,Build!AA501,0),"")</f>
      </c>
      <c r="AE9" s="433"/>
      <c r="AF9" s="433"/>
      <c r="AG9" s="433"/>
      <c r="AH9" s="433"/>
      <c r="AI9" s="433">
        <f ca="1">IF(Build!AA501,OFFSET(Spells!G$2,Build!AA501,0),"")</f>
      </c>
      <c r="AJ9" s="433"/>
      <c r="AK9" s="433"/>
      <c r="AL9" s="433"/>
      <c r="AM9" s="433"/>
      <c r="AN9" s="433"/>
      <c r="AO9" s="433">
        <f ca="1">IF(AND(Build!AA501,LEN(OFFSET(Spells!H$2,Build!AA501,0))&lt;5),OFFSET(Spells!H$2,Build!AA501,0),"")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IF(Build!AA501,OFFSET(Spells!I$2,Build!AA501,0),"")</f>
      </c>
      <c r="BC9" s="433"/>
      <c r="BD9" s="433"/>
      <c r="BE9" s="433"/>
      <c r="BF9" s="433"/>
      <c r="BG9" s="621">
        <f ca="1">IF(Build!AA501,OFFSET(Spells!J$2,Build!AA501,0),"")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IF(Build!AA502,OFFSET(Spells!B$2,Build!AA502,0),"")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IF(Build!AA502,OFFSET(Spells!C$2,Build!AA502,0),"")</f>
      </c>
      <c r="T10" s="433"/>
      <c r="U10" s="433"/>
      <c r="V10" s="433">
        <f ca="1">IF(Build!AA502,OFFSET(Spells!D$2,Build!AA502,0),"")</f>
      </c>
      <c r="W10" s="433"/>
      <c r="X10" s="433"/>
      <c r="Y10" s="678">
        <f ca="1">IF(Build!AA502,OFFSET(Spells!E$2,Build!AA502,0),"")</f>
      </c>
      <c r="Z10" s="678"/>
      <c r="AA10" s="678"/>
      <c r="AB10" s="678"/>
      <c r="AC10" s="678"/>
      <c r="AD10" s="433">
        <f ca="1">IF(Build!AA502,OFFSET(Spells!F$2,Build!AA502,0),"")</f>
      </c>
      <c r="AE10" s="433"/>
      <c r="AF10" s="433"/>
      <c r="AG10" s="433"/>
      <c r="AH10" s="433"/>
      <c r="AI10" s="433">
        <f ca="1">IF(Build!AA502,OFFSET(Spells!G$2,Build!AA502,0),"")</f>
      </c>
      <c r="AJ10" s="433"/>
      <c r="AK10" s="433"/>
      <c r="AL10" s="433"/>
      <c r="AM10" s="433"/>
      <c r="AN10" s="433"/>
      <c r="AO10" s="433">
        <f ca="1">IF(AND(Build!AA502,LEN(OFFSET(Spells!H$2,Build!AA502,0))&lt;5),OFFSET(Spells!H$2,Build!AA502,0),"")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IF(Build!AA502,OFFSET(Spells!I$2,Build!AA502,0),"")</f>
      </c>
      <c r="BC10" s="433"/>
      <c r="BD10" s="433"/>
      <c r="BE10" s="433"/>
      <c r="BF10" s="433"/>
      <c r="BG10" s="621">
        <f ca="1">IF(Build!AA502,OFFSET(Spells!J$2,Build!AA502,0),"")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IF(Build!AA503,OFFSET(Spells!B$2,Build!AA503,0),"")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IF(Build!AA503,OFFSET(Spells!C$2,Build!AA503,0),"")</f>
      </c>
      <c r="T11" s="433"/>
      <c r="U11" s="433"/>
      <c r="V11" s="433">
        <f ca="1">IF(Build!AA503,OFFSET(Spells!D$2,Build!AA503,0),"")</f>
      </c>
      <c r="W11" s="433"/>
      <c r="X11" s="433"/>
      <c r="Y11" s="678">
        <f ca="1">IF(Build!AA503,OFFSET(Spells!E$2,Build!AA503,0),"")</f>
      </c>
      <c r="Z11" s="678"/>
      <c r="AA11" s="678"/>
      <c r="AB11" s="678"/>
      <c r="AC11" s="678"/>
      <c r="AD11" s="433">
        <f ca="1">IF(Build!AA503,OFFSET(Spells!F$2,Build!AA503,0),"")</f>
      </c>
      <c r="AE11" s="433"/>
      <c r="AF11" s="433"/>
      <c r="AG11" s="433"/>
      <c r="AH11" s="433"/>
      <c r="AI11" s="433">
        <f ca="1">IF(Build!AA503,OFFSET(Spells!G$2,Build!AA503,0),"")</f>
      </c>
      <c r="AJ11" s="433"/>
      <c r="AK11" s="433"/>
      <c r="AL11" s="433"/>
      <c r="AM11" s="433"/>
      <c r="AN11" s="433"/>
      <c r="AO11" s="433">
        <f ca="1">IF(AND(Build!AA503,LEN(OFFSET(Spells!H$2,Build!AA503,0))&lt;5),OFFSET(Spells!H$2,Build!AA503,0),"")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IF(Build!AA503,OFFSET(Spells!I$2,Build!AA503,0),"")</f>
      </c>
      <c r="BC11" s="433"/>
      <c r="BD11" s="433"/>
      <c r="BE11" s="433"/>
      <c r="BF11" s="433"/>
      <c r="BG11" s="621">
        <f ca="1">IF(Build!AA503,OFFSET(Spells!J$2,Build!AA503,0),"")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IF(Build!AA504,OFFSET(Spells!B$2,Build!AA504,0),"")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IF(Build!AA504,OFFSET(Spells!C$2,Build!AA504,0),"")</f>
      </c>
      <c r="T12" s="433"/>
      <c r="U12" s="433"/>
      <c r="V12" s="433">
        <f ca="1">IF(Build!AA504,OFFSET(Spells!D$2,Build!AA504,0),"")</f>
      </c>
      <c r="W12" s="433"/>
      <c r="X12" s="433"/>
      <c r="Y12" s="678">
        <f ca="1">IF(Build!AA504,OFFSET(Spells!E$2,Build!AA504,0),"")</f>
      </c>
      <c r="Z12" s="678"/>
      <c r="AA12" s="678"/>
      <c r="AB12" s="678"/>
      <c r="AC12" s="678"/>
      <c r="AD12" s="433">
        <f ca="1">IF(Build!AA504,OFFSET(Spells!F$2,Build!AA504,0),"")</f>
      </c>
      <c r="AE12" s="433"/>
      <c r="AF12" s="433"/>
      <c r="AG12" s="433"/>
      <c r="AH12" s="433"/>
      <c r="AI12" s="433">
        <f ca="1">IF(Build!AA504,OFFSET(Spells!G$2,Build!AA504,0),"")</f>
      </c>
      <c r="AJ12" s="433"/>
      <c r="AK12" s="433"/>
      <c r="AL12" s="433"/>
      <c r="AM12" s="433"/>
      <c r="AN12" s="433"/>
      <c r="AO12" s="433">
        <f ca="1">IF(AND(Build!AA504,LEN(OFFSET(Spells!H$2,Build!AA504,0))&lt;5),OFFSET(Spells!H$2,Build!AA504,0),"")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IF(Build!AA504,OFFSET(Spells!I$2,Build!AA504,0),"")</f>
      </c>
      <c r="BC12" s="433"/>
      <c r="BD12" s="433"/>
      <c r="BE12" s="433"/>
      <c r="BF12" s="433"/>
      <c r="BG12" s="621">
        <f ca="1">IF(Build!AA504,OFFSET(Spells!J$2,Build!AA504,0),"")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IF(Build!AA505,OFFSET(Spells!B$2,Build!AA505,0),"")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IF(Build!AA505,OFFSET(Spells!C$2,Build!AA505,0),"")</f>
      </c>
      <c r="T13" s="433"/>
      <c r="U13" s="433"/>
      <c r="V13" s="433">
        <f ca="1">IF(Build!AA505,OFFSET(Spells!D$2,Build!AA505,0),"")</f>
      </c>
      <c r="W13" s="433"/>
      <c r="X13" s="433"/>
      <c r="Y13" s="678">
        <f ca="1">IF(Build!AA505,OFFSET(Spells!E$2,Build!AA505,0),"")</f>
      </c>
      <c r="Z13" s="678"/>
      <c r="AA13" s="678"/>
      <c r="AB13" s="678"/>
      <c r="AC13" s="678"/>
      <c r="AD13" s="433">
        <f ca="1">IF(Build!AA505,OFFSET(Spells!F$2,Build!AA505,0),"")</f>
      </c>
      <c r="AE13" s="433"/>
      <c r="AF13" s="433"/>
      <c r="AG13" s="433"/>
      <c r="AH13" s="433"/>
      <c r="AI13" s="433">
        <f ca="1">IF(Build!AA505,OFFSET(Spells!G$2,Build!AA505,0),"")</f>
      </c>
      <c r="AJ13" s="433"/>
      <c r="AK13" s="433"/>
      <c r="AL13" s="433"/>
      <c r="AM13" s="433"/>
      <c r="AN13" s="433"/>
      <c r="AO13" s="433">
        <f ca="1">IF(AND(Build!AA505,LEN(OFFSET(Spells!H$2,Build!AA505,0))&lt;5),OFFSET(Spells!H$2,Build!AA505,0),"")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IF(Build!AA505,OFFSET(Spells!I$2,Build!AA505,0),"")</f>
      </c>
      <c r="BC13" s="433"/>
      <c r="BD13" s="433"/>
      <c r="BE13" s="433"/>
      <c r="BF13" s="433"/>
      <c r="BG13" s="621">
        <f ca="1">IF(Build!AA505,OFFSET(Spells!J$2,Build!AA505,0),"")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IF(Build!AA506,OFFSET(Spells!B$2,Build!AA506,0),"")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IF(Build!AA506,OFFSET(Spells!C$2,Build!AA506,0),"")</f>
      </c>
      <c r="T14" s="433"/>
      <c r="U14" s="433"/>
      <c r="V14" s="433">
        <f ca="1">IF(Build!AA506,OFFSET(Spells!D$2,Build!AA506,0),"")</f>
      </c>
      <c r="W14" s="433"/>
      <c r="X14" s="433"/>
      <c r="Y14" s="678">
        <f ca="1">IF(Build!AA506,OFFSET(Spells!E$2,Build!AA506,0),"")</f>
      </c>
      <c r="Z14" s="678"/>
      <c r="AA14" s="678"/>
      <c r="AB14" s="678"/>
      <c r="AC14" s="678"/>
      <c r="AD14" s="433">
        <f ca="1">IF(Build!AA506,OFFSET(Spells!F$2,Build!AA506,0),"")</f>
      </c>
      <c r="AE14" s="433"/>
      <c r="AF14" s="433"/>
      <c r="AG14" s="433"/>
      <c r="AH14" s="433"/>
      <c r="AI14" s="433">
        <f ca="1">IF(Build!AA506,OFFSET(Spells!G$2,Build!AA506,0),"")</f>
      </c>
      <c r="AJ14" s="433"/>
      <c r="AK14" s="433"/>
      <c r="AL14" s="433"/>
      <c r="AM14" s="433"/>
      <c r="AN14" s="433"/>
      <c r="AO14" s="433">
        <f ca="1">IF(AND(Build!AA506,LEN(OFFSET(Spells!H$2,Build!AA506,0))&lt;5),OFFSET(Spells!H$2,Build!AA506,0),"")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IF(Build!AA506,OFFSET(Spells!I$2,Build!AA506,0),"")</f>
      </c>
      <c r="BC14" s="433"/>
      <c r="BD14" s="433"/>
      <c r="BE14" s="433"/>
      <c r="BF14" s="433"/>
      <c r="BG14" s="621">
        <f ca="1">IF(Build!AA506,OFFSET(Spells!J$2,Build!AA506,0),"")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IF(Build!AA507,OFFSET(Spells!B$2,Build!AA507,0),"")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IF(Build!AA507,OFFSET(Spells!C$2,Build!AA507,0),"")</f>
      </c>
      <c r="T15" s="433"/>
      <c r="U15" s="433"/>
      <c r="V15" s="433">
        <f ca="1">IF(Build!AA507,OFFSET(Spells!D$2,Build!AA507,0),"")</f>
      </c>
      <c r="W15" s="433"/>
      <c r="X15" s="433"/>
      <c r="Y15" s="678">
        <f ca="1">IF(Build!AA507,OFFSET(Spells!E$2,Build!AA507,0),"")</f>
      </c>
      <c r="Z15" s="678"/>
      <c r="AA15" s="678"/>
      <c r="AB15" s="678"/>
      <c r="AC15" s="678"/>
      <c r="AD15" s="433">
        <f ca="1">IF(Build!AA507,OFFSET(Spells!F$2,Build!AA507,0),"")</f>
      </c>
      <c r="AE15" s="433"/>
      <c r="AF15" s="433"/>
      <c r="AG15" s="433"/>
      <c r="AH15" s="433"/>
      <c r="AI15" s="433">
        <f ca="1">IF(Build!AA507,OFFSET(Spells!G$2,Build!AA507,0),"")</f>
      </c>
      <c r="AJ15" s="433"/>
      <c r="AK15" s="433"/>
      <c r="AL15" s="433"/>
      <c r="AM15" s="433"/>
      <c r="AN15" s="433"/>
      <c r="AO15" s="433">
        <f ca="1">IF(AND(Build!AA507,LEN(OFFSET(Spells!H$2,Build!AA507,0))&lt;5),OFFSET(Spells!H$2,Build!AA507,0),"")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IF(Build!AA507,OFFSET(Spells!I$2,Build!AA507,0),"")</f>
      </c>
      <c r="BC15" s="433"/>
      <c r="BD15" s="433"/>
      <c r="BE15" s="433"/>
      <c r="BF15" s="433"/>
      <c r="BG15" s="621">
        <f ca="1">IF(Build!AA507,OFFSET(Spells!J$2,Build!AA507,0),"")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IF(Build!AA508,OFFSET(Spells!B$2,Build!AA508,0),"")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IF(Build!AA508,OFFSET(Spells!C$2,Build!AA508,0),"")</f>
      </c>
      <c r="T16" s="433"/>
      <c r="U16" s="433"/>
      <c r="V16" s="433">
        <f ca="1">IF(Build!AA508,OFFSET(Spells!D$2,Build!AA508,0),"")</f>
      </c>
      <c r="W16" s="433"/>
      <c r="X16" s="433"/>
      <c r="Y16" s="678">
        <f ca="1">IF(Build!AA508,OFFSET(Spells!E$2,Build!AA508,0),"")</f>
      </c>
      <c r="Z16" s="678"/>
      <c r="AA16" s="678"/>
      <c r="AB16" s="678"/>
      <c r="AC16" s="678"/>
      <c r="AD16" s="433">
        <f ca="1">IF(Build!AA508,OFFSET(Spells!F$2,Build!AA508,0),"")</f>
      </c>
      <c r="AE16" s="433"/>
      <c r="AF16" s="433"/>
      <c r="AG16" s="433"/>
      <c r="AH16" s="433"/>
      <c r="AI16" s="433">
        <f ca="1">IF(Build!AA508,OFFSET(Spells!G$2,Build!AA508,0),"")</f>
      </c>
      <c r="AJ16" s="433"/>
      <c r="AK16" s="433"/>
      <c r="AL16" s="433"/>
      <c r="AM16" s="433"/>
      <c r="AN16" s="433"/>
      <c r="AO16" s="433">
        <f ca="1">IF(AND(Build!AA508,LEN(OFFSET(Spells!H$2,Build!AA508,0))&lt;5),OFFSET(Spells!H$2,Build!AA508,0),"")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IF(Build!AA508,OFFSET(Spells!I$2,Build!AA508,0),"")</f>
      </c>
      <c r="BC16" s="433"/>
      <c r="BD16" s="433"/>
      <c r="BE16" s="433"/>
      <c r="BF16" s="433"/>
      <c r="BG16" s="621">
        <f ca="1">IF(Build!AA508,OFFSET(Spells!J$2,Build!AA508,0),"")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IF(Build!AA509,OFFSET(Spells!B$2,Build!AA509,0),"")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IF(Build!AA509,OFFSET(Spells!C$2,Build!AA509,0),"")</f>
      </c>
      <c r="T17" s="433"/>
      <c r="U17" s="433"/>
      <c r="V17" s="433">
        <f ca="1">IF(Build!AA509,OFFSET(Spells!D$2,Build!AA509,0),"")</f>
      </c>
      <c r="W17" s="433"/>
      <c r="X17" s="433"/>
      <c r="Y17" s="678">
        <f ca="1">IF(Build!AA509,OFFSET(Spells!E$2,Build!AA509,0),"")</f>
      </c>
      <c r="Z17" s="678"/>
      <c r="AA17" s="678"/>
      <c r="AB17" s="678"/>
      <c r="AC17" s="678"/>
      <c r="AD17" s="433">
        <f ca="1">IF(Build!AA509,OFFSET(Spells!F$2,Build!AA509,0),"")</f>
      </c>
      <c r="AE17" s="433"/>
      <c r="AF17" s="433"/>
      <c r="AG17" s="433"/>
      <c r="AH17" s="433"/>
      <c r="AI17" s="433">
        <f ca="1">IF(Build!AA509,OFFSET(Spells!G$2,Build!AA509,0),"")</f>
      </c>
      <c r="AJ17" s="433"/>
      <c r="AK17" s="433"/>
      <c r="AL17" s="433"/>
      <c r="AM17" s="433"/>
      <c r="AN17" s="433"/>
      <c r="AO17" s="433">
        <f ca="1">IF(AND(Build!AA509,LEN(OFFSET(Spells!H$2,Build!AA509,0))&lt;5),OFFSET(Spells!H$2,Build!AA509,0),"")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IF(Build!AA509,OFFSET(Spells!I$2,Build!AA509,0),"")</f>
      </c>
      <c r="BC17" s="433"/>
      <c r="BD17" s="433"/>
      <c r="BE17" s="433"/>
      <c r="BF17" s="433"/>
      <c r="BG17" s="621">
        <f ca="1">IF(Build!AA509,OFFSET(Spells!J$2,Build!AA509,0),"")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IF(Build!AA510,OFFSET(Spells!B$2,Build!AA510,0),"")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IF(Build!AA510,OFFSET(Spells!C$2,Build!AA510,0),"")</f>
      </c>
      <c r="T18" s="433"/>
      <c r="U18" s="433"/>
      <c r="V18" s="433">
        <f ca="1">IF(Build!AA510,OFFSET(Spells!D$2,Build!AA510,0),"")</f>
      </c>
      <c r="W18" s="433"/>
      <c r="X18" s="433"/>
      <c r="Y18" s="678">
        <f ca="1">IF(Build!AA510,OFFSET(Spells!E$2,Build!AA510,0),"")</f>
      </c>
      <c r="Z18" s="678"/>
      <c r="AA18" s="678"/>
      <c r="AB18" s="678"/>
      <c r="AC18" s="678"/>
      <c r="AD18" s="433">
        <f ca="1">IF(Build!AA510,OFFSET(Spells!F$2,Build!AA510,0),"")</f>
      </c>
      <c r="AE18" s="433"/>
      <c r="AF18" s="433"/>
      <c r="AG18" s="433"/>
      <c r="AH18" s="433"/>
      <c r="AI18" s="433">
        <f ca="1">IF(Build!AA510,OFFSET(Spells!G$2,Build!AA510,0),"")</f>
      </c>
      <c r="AJ18" s="433"/>
      <c r="AK18" s="433"/>
      <c r="AL18" s="433"/>
      <c r="AM18" s="433"/>
      <c r="AN18" s="433"/>
      <c r="AO18" s="433">
        <f ca="1">IF(AND(Build!AA510,LEN(OFFSET(Spells!H$2,Build!AA510,0))&lt;5),OFFSET(Spells!H$2,Build!AA510,0),"")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IF(Build!AA510,OFFSET(Spells!I$2,Build!AA510,0),"")</f>
      </c>
      <c r="BC18" s="433"/>
      <c r="BD18" s="433"/>
      <c r="BE18" s="433"/>
      <c r="BF18" s="433"/>
      <c r="BG18" s="621">
        <f ca="1">IF(Build!AA510,OFFSET(Spells!J$2,Build!AA510,0),"")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IF(Build!AA511,OFFSET(Spells!B$2,Build!AA511,0),"")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IF(Build!AA511,OFFSET(Spells!C$2,Build!AA511,0),"")</f>
      </c>
      <c r="T19" s="433"/>
      <c r="U19" s="433"/>
      <c r="V19" s="433">
        <f ca="1">IF(Build!AA511,OFFSET(Spells!D$2,Build!AA511,0),"")</f>
      </c>
      <c r="W19" s="433"/>
      <c r="X19" s="433"/>
      <c r="Y19" s="678">
        <f ca="1">IF(Build!AA511,OFFSET(Spells!E$2,Build!AA511,0),"")</f>
      </c>
      <c r="Z19" s="678"/>
      <c r="AA19" s="678"/>
      <c r="AB19" s="678"/>
      <c r="AC19" s="678"/>
      <c r="AD19" s="433">
        <f ca="1">IF(Build!AA511,OFFSET(Spells!F$2,Build!AA511,0),"")</f>
      </c>
      <c r="AE19" s="433"/>
      <c r="AF19" s="433"/>
      <c r="AG19" s="433"/>
      <c r="AH19" s="433"/>
      <c r="AI19" s="433">
        <f ca="1">IF(Build!AA511,OFFSET(Spells!G$2,Build!AA511,0),"")</f>
      </c>
      <c r="AJ19" s="433"/>
      <c r="AK19" s="433"/>
      <c r="AL19" s="433"/>
      <c r="AM19" s="433"/>
      <c r="AN19" s="433"/>
      <c r="AO19" s="433">
        <f ca="1">IF(AND(Build!AA511,LEN(OFFSET(Spells!H$2,Build!AA511,0))&lt;5),OFFSET(Spells!H$2,Build!AA511,0),"")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IF(Build!AA511,OFFSET(Spells!I$2,Build!AA511,0),"")</f>
      </c>
      <c r="BC19" s="433"/>
      <c r="BD19" s="433"/>
      <c r="BE19" s="433"/>
      <c r="BF19" s="433"/>
      <c r="BG19" s="621">
        <f ca="1">IF(Build!AA511,OFFSET(Spells!J$2,Build!AA511,0),"")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IF(Build!AA512,OFFSET(Spells!B$2,Build!AA512,0),"")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IF(Build!AA512,OFFSET(Spells!C$2,Build!AA512,0),"")</f>
      </c>
      <c r="T20" s="433"/>
      <c r="U20" s="433"/>
      <c r="V20" s="433">
        <f ca="1">IF(Build!AA512,OFFSET(Spells!D$2,Build!AA512,0),"")</f>
      </c>
      <c r="W20" s="433"/>
      <c r="X20" s="433"/>
      <c r="Y20" s="678">
        <f ca="1">IF(Build!AA512,OFFSET(Spells!E$2,Build!AA512,0),"")</f>
      </c>
      <c r="Z20" s="678"/>
      <c r="AA20" s="678"/>
      <c r="AB20" s="678"/>
      <c r="AC20" s="678"/>
      <c r="AD20" s="433">
        <f ca="1">IF(Build!AA512,OFFSET(Spells!F$2,Build!AA512,0),"")</f>
      </c>
      <c r="AE20" s="433"/>
      <c r="AF20" s="433"/>
      <c r="AG20" s="433"/>
      <c r="AH20" s="433"/>
      <c r="AI20" s="433">
        <f ca="1">IF(Build!AA512,OFFSET(Spells!G$2,Build!AA512,0),"")</f>
      </c>
      <c r="AJ20" s="433"/>
      <c r="AK20" s="433"/>
      <c r="AL20" s="433"/>
      <c r="AM20" s="433"/>
      <c r="AN20" s="433"/>
      <c r="AO20" s="433">
        <f ca="1">IF(AND(Build!AA512,LEN(OFFSET(Spells!H$2,Build!AA512,0))&lt;5),OFFSET(Spells!H$2,Build!AA512,0),"")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IF(Build!AA512,OFFSET(Spells!I$2,Build!AA512,0),"")</f>
      </c>
      <c r="BC20" s="433"/>
      <c r="BD20" s="433"/>
      <c r="BE20" s="433"/>
      <c r="BF20" s="433"/>
      <c r="BG20" s="621">
        <f ca="1">IF(Build!AA512,OFFSET(Spells!J$2,Build!AA512,0),"")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IF(Build!AA513,OFFSET(Spells!B$2,Build!AA513,0),"")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IF(Build!AA513,OFFSET(Spells!C$2,Build!AA513,0),"")</f>
      </c>
      <c r="T21" s="433"/>
      <c r="U21" s="433"/>
      <c r="V21" s="433">
        <f ca="1">IF(Build!AA513,OFFSET(Spells!D$2,Build!AA513,0),"")</f>
      </c>
      <c r="W21" s="433"/>
      <c r="X21" s="433"/>
      <c r="Y21" s="678">
        <f ca="1">IF(Build!AA513,OFFSET(Spells!E$2,Build!AA513,0),"")</f>
      </c>
      <c r="Z21" s="678"/>
      <c r="AA21" s="678"/>
      <c r="AB21" s="678"/>
      <c r="AC21" s="678"/>
      <c r="AD21" s="433">
        <f ca="1">IF(Build!AA513,OFFSET(Spells!F$2,Build!AA513,0),"")</f>
      </c>
      <c r="AE21" s="433"/>
      <c r="AF21" s="433"/>
      <c r="AG21" s="433"/>
      <c r="AH21" s="433"/>
      <c r="AI21" s="433">
        <f ca="1">IF(Build!AA513,OFFSET(Spells!G$2,Build!AA513,0),"")</f>
      </c>
      <c r="AJ21" s="433"/>
      <c r="AK21" s="433"/>
      <c r="AL21" s="433"/>
      <c r="AM21" s="433"/>
      <c r="AN21" s="433"/>
      <c r="AO21" s="433">
        <f ca="1">IF(AND(Build!AA513,LEN(OFFSET(Spells!H$2,Build!AA513,0))&lt;5),OFFSET(Spells!H$2,Build!AA513,0),"")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IF(Build!AA513,OFFSET(Spells!I$2,Build!AA513,0),"")</f>
      </c>
      <c r="BC21" s="433"/>
      <c r="BD21" s="433"/>
      <c r="BE21" s="433"/>
      <c r="BF21" s="433"/>
      <c r="BG21" s="621">
        <f ca="1">IF(Build!AA513,OFFSET(Spells!J$2,Build!AA513,0),"")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IF(Build!AA514,OFFSET(Spells!B$2,Build!AA514,0),"")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IF(Build!AA514,OFFSET(Spells!C$2,Build!AA514,0),"")</f>
      </c>
      <c r="T22" s="433"/>
      <c r="U22" s="433"/>
      <c r="V22" s="433">
        <f ca="1">IF(Build!AA514,OFFSET(Spells!D$2,Build!AA514,0),"")</f>
      </c>
      <c r="W22" s="433"/>
      <c r="X22" s="433"/>
      <c r="Y22" s="678">
        <f ca="1">IF(Build!AA514,OFFSET(Spells!E$2,Build!AA514,0),"")</f>
      </c>
      <c r="Z22" s="678"/>
      <c r="AA22" s="678"/>
      <c r="AB22" s="678"/>
      <c r="AC22" s="678"/>
      <c r="AD22" s="433">
        <f ca="1">IF(Build!AA514,OFFSET(Spells!F$2,Build!AA514,0),"")</f>
      </c>
      <c r="AE22" s="433"/>
      <c r="AF22" s="433"/>
      <c r="AG22" s="433"/>
      <c r="AH22" s="433"/>
      <c r="AI22" s="433">
        <f ca="1">IF(Build!AA514,OFFSET(Spells!G$2,Build!AA514,0),"")</f>
      </c>
      <c r="AJ22" s="433"/>
      <c r="AK22" s="433"/>
      <c r="AL22" s="433"/>
      <c r="AM22" s="433"/>
      <c r="AN22" s="433"/>
      <c r="AO22" s="433">
        <f ca="1">IF(AND(Build!AA514,LEN(OFFSET(Spells!H$2,Build!AA514,0))&lt;5),OFFSET(Spells!H$2,Build!AA514,0),"")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IF(Build!AA514,OFFSET(Spells!I$2,Build!AA514,0),"")</f>
      </c>
      <c r="BC22" s="433"/>
      <c r="BD22" s="433"/>
      <c r="BE22" s="433"/>
      <c r="BF22" s="433"/>
      <c r="BG22" s="621">
        <f ca="1">IF(Build!AA514,OFFSET(Spells!J$2,Build!AA514,0),"")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IF(Build!AA515,OFFSET(Spells!B$2,Build!AA515,0),"")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IF(Build!AA515,OFFSET(Spells!C$2,Build!AA515,0),"")</f>
      </c>
      <c r="T23" s="433"/>
      <c r="U23" s="433"/>
      <c r="V23" s="433">
        <f ca="1">IF(Build!AA515,OFFSET(Spells!D$2,Build!AA515,0),"")</f>
      </c>
      <c r="W23" s="433"/>
      <c r="X23" s="433"/>
      <c r="Y23" s="678">
        <f ca="1">IF(Build!AA515,OFFSET(Spells!E$2,Build!AA515,0),"")</f>
      </c>
      <c r="Z23" s="678"/>
      <c r="AA23" s="678"/>
      <c r="AB23" s="678"/>
      <c r="AC23" s="678"/>
      <c r="AD23" s="433">
        <f ca="1">IF(Build!AA515,OFFSET(Spells!F$2,Build!AA515,0),"")</f>
      </c>
      <c r="AE23" s="433"/>
      <c r="AF23" s="433"/>
      <c r="AG23" s="433"/>
      <c r="AH23" s="433"/>
      <c r="AI23" s="433">
        <f ca="1">IF(Build!AA515,OFFSET(Spells!G$2,Build!AA515,0),"")</f>
      </c>
      <c r="AJ23" s="433"/>
      <c r="AK23" s="433"/>
      <c r="AL23" s="433"/>
      <c r="AM23" s="433"/>
      <c r="AN23" s="433"/>
      <c r="AO23" s="433">
        <f ca="1">IF(AND(Build!AA515,LEN(OFFSET(Spells!H$2,Build!AA515,0))&lt;5),OFFSET(Spells!H$2,Build!AA515,0),"")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IF(Build!AA515,OFFSET(Spells!I$2,Build!AA515,0),"")</f>
      </c>
      <c r="BC23" s="433"/>
      <c r="BD23" s="433"/>
      <c r="BE23" s="433"/>
      <c r="BF23" s="433"/>
      <c r="BG23" s="621">
        <f ca="1">IF(Build!AA515,OFFSET(Spells!J$2,Build!AA515,0),"")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IF(Build!AA516,OFFSET(Spells!B$2,Build!AA516,0),"")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IF(Build!AA516,OFFSET(Spells!C$2,Build!AA516,0),"")</f>
      </c>
      <c r="T24" s="433"/>
      <c r="U24" s="433"/>
      <c r="V24" s="433">
        <f ca="1">IF(Build!AA516,OFFSET(Spells!D$2,Build!AA516,0),"")</f>
      </c>
      <c r="W24" s="433"/>
      <c r="X24" s="433"/>
      <c r="Y24" s="678">
        <f ca="1">IF(Build!AA516,OFFSET(Spells!E$2,Build!AA516,0),"")</f>
      </c>
      <c r="Z24" s="678"/>
      <c r="AA24" s="678"/>
      <c r="AB24" s="678"/>
      <c r="AC24" s="678"/>
      <c r="AD24" s="433">
        <f ca="1">IF(Build!AA516,OFFSET(Spells!F$2,Build!AA516,0),"")</f>
      </c>
      <c r="AE24" s="433"/>
      <c r="AF24" s="433"/>
      <c r="AG24" s="433"/>
      <c r="AH24" s="433"/>
      <c r="AI24" s="433">
        <f ca="1">IF(Build!AA516,OFFSET(Spells!G$2,Build!AA516,0),"")</f>
      </c>
      <c r="AJ24" s="433"/>
      <c r="AK24" s="433"/>
      <c r="AL24" s="433"/>
      <c r="AM24" s="433"/>
      <c r="AN24" s="433"/>
      <c r="AO24" s="433">
        <f ca="1">IF(AND(Build!AA516,LEN(OFFSET(Spells!H$2,Build!AA516,0))&lt;5),OFFSET(Spells!H$2,Build!AA516,0),"")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IF(Build!AA516,OFFSET(Spells!I$2,Build!AA516,0),"")</f>
      </c>
      <c r="BC24" s="433"/>
      <c r="BD24" s="433"/>
      <c r="BE24" s="433"/>
      <c r="BF24" s="433"/>
      <c r="BG24" s="621">
        <f ca="1">IF(Build!AA516,OFFSET(Spells!J$2,Build!AA516,0),"")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IF(Build!AA517,OFFSET(Spells!B$2,Build!AA517,0),"")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IF(Build!AA517,OFFSET(Spells!C$2,Build!AA517,0),"")</f>
      </c>
      <c r="T25" s="433"/>
      <c r="U25" s="433"/>
      <c r="V25" s="433">
        <f ca="1">IF(Build!AA517,OFFSET(Spells!D$2,Build!AA517,0),"")</f>
      </c>
      <c r="W25" s="433"/>
      <c r="X25" s="433"/>
      <c r="Y25" s="678">
        <f ca="1">IF(Build!AA517,OFFSET(Spells!E$2,Build!AA517,0),"")</f>
      </c>
      <c r="Z25" s="678"/>
      <c r="AA25" s="678"/>
      <c r="AB25" s="678"/>
      <c r="AC25" s="678"/>
      <c r="AD25" s="433">
        <f ca="1">IF(Build!AA517,OFFSET(Spells!F$2,Build!AA517,0),"")</f>
      </c>
      <c r="AE25" s="433"/>
      <c r="AF25" s="433"/>
      <c r="AG25" s="433"/>
      <c r="AH25" s="433"/>
      <c r="AI25" s="433">
        <f ca="1">IF(Build!AA517,OFFSET(Spells!G$2,Build!AA517,0),"")</f>
      </c>
      <c r="AJ25" s="433"/>
      <c r="AK25" s="433"/>
      <c r="AL25" s="433"/>
      <c r="AM25" s="433"/>
      <c r="AN25" s="433"/>
      <c r="AO25" s="433">
        <f ca="1">IF(AND(Build!AA517,LEN(OFFSET(Spells!H$2,Build!AA517,0))&lt;5),OFFSET(Spells!H$2,Build!AA517,0),"")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IF(Build!AA517,OFFSET(Spells!I$2,Build!AA517,0),"")</f>
      </c>
      <c r="BC25" s="433"/>
      <c r="BD25" s="433"/>
      <c r="BE25" s="433"/>
      <c r="BF25" s="433"/>
      <c r="BG25" s="621">
        <f ca="1">IF(Build!AA517,OFFSET(Spells!J$2,Build!AA517,0),"")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IF(Build!AA518,OFFSET(Spells!B$2,Build!AA518,0),"")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IF(Build!AA518,OFFSET(Spells!C$2,Build!AA518,0),"")</f>
      </c>
      <c r="T26" s="433"/>
      <c r="U26" s="433"/>
      <c r="V26" s="433">
        <f ca="1">IF(Build!AA518,OFFSET(Spells!D$2,Build!AA518,0),"")</f>
      </c>
      <c r="W26" s="433"/>
      <c r="X26" s="433"/>
      <c r="Y26" s="678">
        <f ca="1">IF(Build!AA518,OFFSET(Spells!E$2,Build!AA518,0),"")</f>
      </c>
      <c r="Z26" s="678"/>
      <c r="AA26" s="678"/>
      <c r="AB26" s="678"/>
      <c r="AC26" s="678"/>
      <c r="AD26" s="433">
        <f ca="1">IF(Build!AA518,OFFSET(Spells!F$2,Build!AA518,0),"")</f>
      </c>
      <c r="AE26" s="433"/>
      <c r="AF26" s="433"/>
      <c r="AG26" s="433"/>
      <c r="AH26" s="433"/>
      <c r="AI26" s="433">
        <f ca="1">IF(Build!AA518,OFFSET(Spells!G$2,Build!AA518,0),"")</f>
      </c>
      <c r="AJ26" s="433"/>
      <c r="AK26" s="433"/>
      <c r="AL26" s="433"/>
      <c r="AM26" s="433"/>
      <c r="AN26" s="433"/>
      <c r="AO26" s="433">
        <f ca="1">IF(AND(Build!AA518,LEN(OFFSET(Spells!H$2,Build!AA518,0))&lt;5),OFFSET(Spells!H$2,Build!AA518,0),"")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IF(Build!AA518,OFFSET(Spells!I$2,Build!AA518,0),"")</f>
      </c>
      <c r="BC26" s="433"/>
      <c r="BD26" s="433"/>
      <c r="BE26" s="433"/>
      <c r="BF26" s="433"/>
      <c r="BG26" s="621">
        <f ca="1">IF(Build!AA518,OFFSET(Spells!J$2,Build!AA518,0),"")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IF(Build!AA519,OFFSET(Spells!B$2,Build!AA519,0),"")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IF(Build!AA519,OFFSET(Spells!C$2,Build!AA519,0),"")</f>
      </c>
      <c r="T27" s="433"/>
      <c r="U27" s="433"/>
      <c r="V27" s="433">
        <f ca="1">IF(Build!AA519,OFFSET(Spells!D$2,Build!AA519,0),"")</f>
      </c>
      <c r="W27" s="433"/>
      <c r="X27" s="433"/>
      <c r="Y27" s="678">
        <f ca="1">IF(Build!AA519,OFFSET(Spells!E$2,Build!AA519,0),"")</f>
      </c>
      <c r="Z27" s="678"/>
      <c r="AA27" s="678"/>
      <c r="AB27" s="678"/>
      <c r="AC27" s="678"/>
      <c r="AD27" s="433">
        <f ca="1">IF(Build!AA519,OFFSET(Spells!F$2,Build!AA519,0),"")</f>
      </c>
      <c r="AE27" s="433"/>
      <c r="AF27" s="433"/>
      <c r="AG27" s="433"/>
      <c r="AH27" s="433"/>
      <c r="AI27" s="433">
        <f ca="1">IF(Build!AA519,OFFSET(Spells!G$2,Build!AA519,0),"")</f>
      </c>
      <c r="AJ27" s="433"/>
      <c r="AK27" s="433"/>
      <c r="AL27" s="433"/>
      <c r="AM27" s="433"/>
      <c r="AN27" s="433"/>
      <c r="AO27" s="433">
        <f ca="1">IF(AND(Build!AA519,LEN(OFFSET(Spells!H$2,Build!AA519,0))&lt;5),OFFSET(Spells!H$2,Build!AA519,0),"")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IF(Build!AA519,OFFSET(Spells!I$2,Build!AA519,0),"")</f>
      </c>
      <c r="BC27" s="433"/>
      <c r="BD27" s="433"/>
      <c r="BE27" s="433"/>
      <c r="BF27" s="433"/>
      <c r="BG27" s="621">
        <f ca="1">IF(Build!AA519,OFFSET(Spells!J$2,Build!AA519,0),"")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IF(Build!AA520,OFFSET(Spells!B$2,Build!AA520,0),"")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IF(Build!AA520,OFFSET(Spells!C$2,Build!AA520,0),"")</f>
      </c>
      <c r="T28" s="433"/>
      <c r="U28" s="433"/>
      <c r="V28" s="433">
        <f ca="1">IF(Build!AA520,OFFSET(Spells!D$2,Build!AA520,0),"")</f>
      </c>
      <c r="W28" s="433"/>
      <c r="X28" s="433"/>
      <c r="Y28" s="678">
        <f ca="1">IF(Build!AA520,OFFSET(Spells!E$2,Build!AA520,0),"")</f>
      </c>
      <c r="Z28" s="678"/>
      <c r="AA28" s="678"/>
      <c r="AB28" s="678"/>
      <c r="AC28" s="678"/>
      <c r="AD28" s="433">
        <f ca="1">IF(Build!AA520,OFFSET(Spells!F$2,Build!AA520,0),"")</f>
      </c>
      <c r="AE28" s="433"/>
      <c r="AF28" s="433"/>
      <c r="AG28" s="433"/>
      <c r="AH28" s="433"/>
      <c r="AI28" s="433">
        <f ca="1">IF(Build!AA520,OFFSET(Spells!G$2,Build!AA520,0),"")</f>
      </c>
      <c r="AJ28" s="433"/>
      <c r="AK28" s="433"/>
      <c r="AL28" s="433"/>
      <c r="AM28" s="433"/>
      <c r="AN28" s="433"/>
      <c r="AO28" s="433">
        <f ca="1">IF(AND(Build!AA520,LEN(OFFSET(Spells!H$2,Build!AA520,0))&lt;5),OFFSET(Spells!H$2,Build!AA520,0),"")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IF(Build!AA520,OFFSET(Spells!I$2,Build!AA520,0),"")</f>
      </c>
      <c r="BC28" s="433"/>
      <c r="BD28" s="433"/>
      <c r="BE28" s="433"/>
      <c r="BF28" s="433"/>
      <c r="BG28" s="621">
        <f ca="1">IF(Build!AA520,OFFSET(Spells!J$2,Build!AA520,0),"")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IF(Build!AA521,OFFSET(Spells!B$2,Build!AA521,0),"")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IF(Build!AA521,OFFSET(Spells!C$2,Build!AA521,0),"")</f>
      </c>
      <c r="T29" s="433"/>
      <c r="U29" s="433"/>
      <c r="V29" s="433">
        <f ca="1">IF(Build!AA521,OFFSET(Spells!D$2,Build!AA521,0),"")</f>
      </c>
      <c r="W29" s="433"/>
      <c r="X29" s="433"/>
      <c r="Y29" s="678">
        <f ca="1">IF(Build!AA521,OFFSET(Spells!E$2,Build!AA521,0),"")</f>
      </c>
      <c r="Z29" s="678"/>
      <c r="AA29" s="678"/>
      <c r="AB29" s="678"/>
      <c r="AC29" s="678"/>
      <c r="AD29" s="433">
        <f ca="1">IF(Build!AA521,OFFSET(Spells!F$2,Build!AA521,0),"")</f>
      </c>
      <c r="AE29" s="433"/>
      <c r="AF29" s="433"/>
      <c r="AG29" s="433"/>
      <c r="AH29" s="433"/>
      <c r="AI29" s="433">
        <f ca="1">IF(Build!AA521,OFFSET(Spells!G$2,Build!AA521,0),"")</f>
      </c>
      <c r="AJ29" s="433"/>
      <c r="AK29" s="433"/>
      <c r="AL29" s="433"/>
      <c r="AM29" s="433"/>
      <c r="AN29" s="433"/>
      <c r="AO29" s="433">
        <f ca="1">IF(AND(Build!AA521,LEN(OFFSET(Spells!H$2,Build!AA521,0))&lt;5),OFFSET(Spells!H$2,Build!AA521,0),"")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IF(Build!AA521,OFFSET(Spells!I$2,Build!AA521,0),"")</f>
      </c>
      <c r="BC29" s="433"/>
      <c r="BD29" s="433"/>
      <c r="BE29" s="433"/>
      <c r="BF29" s="433"/>
      <c r="BG29" s="621">
        <f ca="1">IF(Build!AA521,OFFSET(Spells!J$2,Build!AA521,0),"")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IF(Build!AA522,OFFSET(Spells!B$2,Build!AA522,0),"")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IF(Build!AA522,OFFSET(Spells!C$2,Build!AA522,0),"")</f>
      </c>
      <c r="T30" s="433"/>
      <c r="U30" s="433"/>
      <c r="V30" s="433">
        <f ca="1">IF(Build!AA522,OFFSET(Spells!D$2,Build!AA522,0),"")</f>
      </c>
      <c r="W30" s="433"/>
      <c r="X30" s="433"/>
      <c r="Y30" s="678">
        <f ca="1">IF(Build!AA522,OFFSET(Spells!E$2,Build!AA522,0),"")</f>
      </c>
      <c r="Z30" s="678"/>
      <c r="AA30" s="678"/>
      <c r="AB30" s="678"/>
      <c r="AC30" s="678"/>
      <c r="AD30" s="433">
        <f ca="1">IF(Build!AA522,OFFSET(Spells!F$2,Build!AA522,0),"")</f>
      </c>
      <c r="AE30" s="433"/>
      <c r="AF30" s="433"/>
      <c r="AG30" s="433"/>
      <c r="AH30" s="433"/>
      <c r="AI30" s="433">
        <f ca="1">IF(Build!AA522,OFFSET(Spells!G$2,Build!AA522,0),"")</f>
      </c>
      <c r="AJ30" s="433"/>
      <c r="AK30" s="433"/>
      <c r="AL30" s="433"/>
      <c r="AM30" s="433"/>
      <c r="AN30" s="433"/>
      <c r="AO30" s="433">
        <f ca="1">IF(AND(Build!AA522,LEN(OFFSET(Spells!H$2,Build!AA522,0))&lt;5),OFFSET(Spells!H$2,Build!AA522,0),"")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IF(Build!AA522,OFFSET(Spells!I$2,Build!AA522,0),"")</f>
      </c>
      <c r="BC30" s="433"/>
      <c r="BD30" s="433"/>
      <c r="BE30" s="433"/>
      <c r="BF30" s="433"/>
      <c r="BG30" s="621">
        <f ca="1">IF(Build!AA522,OFFSET(Spells!J$2,Build!AA522,0),"")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IF(Build!AA523,OFFSET(Spells!B$2,Build!AA523,0),"")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IF(Build!AA523,OFFSET(Spells!C$2,Build!AA523,0),"")</f>
      </c>
      <c r="T31" s="433"/>
      <c r="U31" s="433"/>
      <c r="V31" s="433">
        <f ca="1">IF(Build!AA523,OFFSET(Spells!D$2,Build!AA523,0),"")</f>
      </c>
      <c r="W31" s="433"/>
      <c r="X31" s="433"/>
      <c r="Y31" s="678">
        <f ca="1">IF(Build!AA523,OFFSET(Spells!E$2,Build!AA523,0),"")</f>
      </c>
      <c r="Z31" s="678"/>
      <c r="AA31" s="678"/>
      <c r="AB31" s="678"/>
      <c r="AC31" s="678"/>
      <c r="AD31" s="433">
        <f ca="1">IF(Build!AA523,OFFSET(Spells!F$2,Build!AA523,0),"")</f>
      </c>
      <c r="AE31" s="433"/>
      <c r="AF31" s="433"/>
      <c r="AG31" s="433"/>
      <c r="AH31" s="433"/>
      <c r="AI31" s="433">
        <f ca="1">IF(Build!AA523,OFFSET(Spells!G$2,Build!AA523,0),"")</f>
      </c>
      <c r="AJ31" s="433"/>
      <c r="AK31" s="433"/>
      <c r="AL31" s="433"/>
      <c r="AM31" s="433"/>
      <c r="AN31" s="433"/>
      <c r="AO31" s="433">
        <f ca="1">IF(AND(Build!AA523,LEN(OFFSET(Spells!H$2,Build!AA523,0))&lt;5),OFFSET(Spells!H$2,Build!AA523,0),"")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IF(Build!AA523,OFFSET(Spells!I$2,Build!AA523,0),"")</f>
      </c>
      <c r="BC31" s="433"/>
      <c r="BD31" s="433"/>
      <c r="BE31" s="433"/>
      <c r="BF31" s="433"/>
      <c r="BG31" s="621">
        <f ca="1">IF(Build!AA523,OFFSET(Spells!J$2,Build!AA523,0),"")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IF(Build!AA524,OFFSET(Spells!B$2,Build!AA524,0),"")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IF(Build!AA524,OFFSET(Spells!C$2,Build!AA524,0),"")</f>
      </c>
      <c r="T32" s="433"/>
      <c r="U32" s="433"/>
      <c r="V32" s="433">
        <f ca="1">IF(Build!AA524,OFFSET(Spells!D$2,Build!AA524,0),"")</f>
      </c>
      <c r="W32" s="433"/>
      <c r="X32" s="433"/>
      <c r="Y32" s="678">
        <f ca="1">IF(Build!AA524,OFFSET(Spells!E$2,Build!AA524,0),"")</f>
      </c>
      <c r="Z32" s="678"/>
      <c r="AA32" s="678"/>
      <c r="AB32" s="678"/>
      <c r="AC32" s="678"/>
      <c r="AD32" s="433">
        <f ca="1">IF(Build!AA524,OFFSET(Spells!F$2,Build!AA524,0),"")</f>
      </c>
      <c r="AE32" s="433"/>
      <c r="AF32" s="433"/>
      <c r="AG32" s="433"/>
      <c r="AH32" s="433"/>
      <c r="AI32" s="433">
        <f ca="1">IF(Build!AA524,OFFSET(Spells!G$2,Build!AA524,0),"")</f>
      </c>
      <c r="AJ32" s="433"/>
      <c r="AK32" s="433"/>
      <c r="AL32" s="433"/>
      <c r="AM32" s="433"/>
      <c r="AN32" s="433"/>
      <c r="AO32" s="433">
        <f ca="1">IF(AND(Build!AA524,LEN(OFFSET(Spells!H$2,Build!AA524,0))&lt;5),OFFSET(Spells!H$2,Build!AA524,0),"")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IF(Build!AA524,OFFSET(Spells!I$2,Build!AA524,0),"")</f>
      </c>
      <c r="BC32" s="433"/>
      <c r="BD32" s="433"/>
      <c r="BE32" s="433"/>
      <c r="BF32" s="433"/>
      <c r="BG32" s="621">
        <f ca="1">IF(Build!AA524,OFFSET(Spells!J$2,Build!AA524,0),"")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IF(Build!AA525,OFFSET(Spells!B$2,Build!AA525,0),"")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IF(Build!AA525,OFFSET(Spells!C$2,Build!AA525,0),"")</f>
      </c>
      <c r="T33" s="433"/>
      <c r="U33" s="433"/>
      <c r="V33" s="433">
        <f ca="1">IF(Build!AA525,OFFSET(Spells!D$2,Build!AA525,0),"")</f>
      </c>
      <c r="W33" s="433"/>
      <c r="X33" s="433"/>
      <c r="Y33" s="678">
        <f ca="1">IF(Build!AA525,OFFSET(Spells!E$2,Build!AA525,0),"")</f>
      </c>
      <c r="Z33" s="678"/>
      <c r="AA33" s="678"/>
      <c r="AB33" s="678"/>
      <c r="AC33" s="678"/>
      <c r="AD33" s="433">
        <f ca="1">IF(Build!AA525,OFFSET(Spells!F$2,Build!AA525,0),"")</f>
      </c>
      <c r="AE33" s="433"/>
      <c r="AF33" s="433"/>
      <c r="AG33" s="433"/>
      <c r="AH33" s="433"/>
      <c r="AI33" s="433">
        <f ca="1">IF(Build!AA525,OFFSET(Spells!G$2,Build!AA525,0),"")</f>
      </c>
      <c r="AJ33" s="433"/>
      <c r="AK33" s="433"/>
      <c r="AL33" s="433"/>
      <c r="AM33" s="433"/>
      <c r="AN33" s="433"/>
      <c r="AO33" s="433">
        <f ca="1">IF(AND(Build!AA525,LEN(OFFSET(Spells!H$2,Build!AA525,0))&lt;5),OFFSET(Spells!H$2,Build!AA525,0),"")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IF(Build!AA525,OFFSET(Spells!I$2,Build!AA525,0),"")</f>
      </c>
      <c r="BC33" s="433"/>
      <c r="BD33" s="433"/>
      <c r="BE33" s="433"/>
      <c r="BF33" s="433"/>
      <c r="BG33" s="621">
        <f ca="1">IF(Build!AA525,OFFSET(Spells!J$2,Build!AA525,0),"")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IF(Build!AA526,OFFSET(Spells!B$2,Build!AA526,0),"")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IF(Build!AA526,OFFSET(Spells!C$2,Build!AA526,0),"")</f>
      </c>
      <c r="T34" s="433"/>
      <c r="U34" s="433"/>
      <c r="V34" s="433">
        <f ca="1">IF(Build!AA526,OFFSET(Spells!D$2,Build!AA526,0),"")</f>
      </c>
      <c r="W34" s="433"/>
      <c r="X34" s="433"/>
      <c r="Y34" s="678">
        <f ca="1">IF(Build!AA526,OFFSET(Spells!E$2,Build!AA526,0),"")</f>
      </c>
      <c r="Z34" s="678"/>
      <c r="AA34" s="678"/>
      <c r="AB34" s="678"/>
      <c r="AC34" s="678"/>
      <c r="AD34" s="433">
        <f ca="1">IF(Build!AA526,OFFSET(Spells!F$2,Build!AA526,0),"")</f>
      </c>
      <c r="AE34" s="433"/>
      <c r="AF34" s="433"/>
      <c r="AG34" s="433"/>
      <c r="AH34" s="433"/>
      <c r="AI34" s="433">
        <f ca="1">IF(Build!AA526,OFFSET(Spells!G$2,Build!AA526,0),"")</f>
      </c>
      <c r="AJ34" s="433"/>
      <c r="AK34" s="433"/>
      <c r="AL34" s="433"/>
      <c r="AM34" s="433"/>
      <c r="AN34" s="433"/>
      <c r="AO34" s="433">
        <f ca="1">IF(AND(Build!AA526,LEN(OFFSET(Spells!H$2,Build!AA526,0))&lt;5),OFFSET(Spells!H$2,Build!AA526,0),"")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IF(Build!AA526,OFFSET(Spells!I$2,Build!AA526,0),"")</f>
      </c>
      <c r="BC34" s="433"/>
      <c r="BD34" s="433"/>
      <c r="BE34" s="433"/>
      <c r="BF34" s="433"/>
      <c r="BG34" s="621">
        <f ca="1">IF(Build!AA526,OFFSET(Spells!J$2,Build!AA526,0),"")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IF(Build!AA527,OFFSET(Spells!B$2,Build!AA527,0),"")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IF(Build!AA527,OFFSET(Spells!C$2,Build!AA527,0),"")</f>
      </c>
      <c r="T35" s="433"/>
      <c r="U35" s="433"/>
      <c r="V35" s="433">
        <f ca="1">IF(Build!AA527,OFFSET(Spells!D$2,Build!AA527,0),"")</f>
      </c>
      <c r="W35" s="433"/>
      <c r="X35" s="433"/>
      <c r="Y35" s="678">
        <f ca="1">IF(Build!AA527,OFFSET(Spells!E$2,Build!AA527,0),"")</f>
      </c>
      <c r="Z35" s="678"/>
      <c r="AA35" s="678"/>
      <c r="AB35" s="678"/>
      <c r="AC35" s="678"/>
      <c r="AD35" s="433">
        <f ca="1">IF(Build!AA527,OFFSET(Spells!F$2,Build!AA527,0),"")</f>
      </c>
      <c r="AE35" s="433"/>
      <c r="AF35" s="433"/>
      <c r="AG35" s="433"/>
      <c r="AH35" s="433"/>
      <c r="AI35" s="433">
        <f ca="1">IF(Build!AA527,OFFSET(Spells!G$2,Build!AA527,0),"")</f>
      </c>
      <c r="AJ35" s="433"/>
      <c r="AK35" s="433"/>
      <c r="AL35" s="433"/>
      <c r="AM35" s="433"/>
      <c r="AN35" s="433"/>
      <c r="AO35" s="433">
        <f ca="1">IF(AND(Build!AA527,LEN(OFFSET(Spells!H$2,Build!AA527,0))&lt;5),OFFSET(Spells!H$2,Build!AA527,0),"")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IF(Build!AA527,OFFSET(Spells!I$2,Build!AA527,0),"")</f>
      </c>
      <c r="BC35" s="433"/>
      <c r="BD35" s="433"/>
      <c r="BE35" s="433"/>
      <c r="BF35" s="433"/>
      <c r="BG35" s="621">
        <f ca="1">IF(Build!AA527,OFFSET(Spells!J$2,Build!AA527,0),"")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IF(Build!AA528,OFFSET(Spells!B$2,Build!AA528,0),"")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IF(Build!AA528,OFFSET(Spells!C$2,Build!AA528,0),"")</f>
      </c>
      <c r="T36" s="433"/>
      <c r="U36" s="433"/>
      <c r="V36" s="433">
        <f ca="1">IF(Build!AA528,OFFSET(Spells!D$2,Build!AA528,0),"")</f>
      </c>
      <c r="W36" s="433"/>
      <c r="X36" s="433"/>
      <c r="Y36" s="678">
        <f ca="1">IF(Build!AA528,OFFSET(Spells!E$2,Build!AA528,0),"")</f>
      </c>
      <c r="Z36" s="678"/>
      <c r="AA36" s="678"/>
      <c r="AB36" s="678"/>
      <c r="AC36" s="678"/>
      <c r="AD36" s="433">
        <f ca="1">IF(Build!AA528,OFFSET(Spells!F$2,Build!AA528,0),"")</f>
      </c>
      <c r="AE36" s="433"/>
      <c r="AF36" s="433"/>
      <c r="AG36" s="433"/>
      <c r="AH36" s="433"/>
      <c r="AI36" s="433">
        <f ca="1">IF(Build!AA528,OFFSET(Spells!G$2,Build!AA528,0),"")</f>
      </c>
      <c r="AJ36" s="433"/>
      <c r="AK36" s="433"/>
      <c r="AL36" s="433"/>
      <c r="AM36" s="433"/>
      <c r="AN36" s="433"/>
      <c r="AO36" s="433">
        <f ca="1">IF(AND(Build!AA528,LEN(OFFSET(Spells!H$2,Build!AA528,0))&lt;5),OFFSET(Spells!H$2,Build!AA528,0),"")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IF(Build!AA528,OFFSET(Spells!I$2,Build!AA528,0),"")</f>
      </c>
      <c r="BC36" s="433"/>
      <c r="BD36" s="433"/>
      <c r="BE36" s="433"/>
      <c r="BF36" s="433"/>
      <c r="BG36" s="621">
        <f ca="1">IF(Build!AA528,OFFSET(Spells!J$2,Build!AA528,0),"")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IF(Build!AA529,OFFSET(Spells!B$2,Build!AA529,0),"")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IF(Build!AA529,OFFSET(Spells!C$2,Build!AA529,0),"")</f>
      </c>
      <c r="T37" s="433"/>
      <c r="U37" s="433"/>
      <c r="V37" s="433">
        <f ca="1">IF(Build!AA529,OFFSET(Spells!D$2,Build!AA529,0),"")</f>
      </c>
      <c r="W37" s="433"/>
      <c r="X37" s="433"/>
      <c r="Y37" s="678">
        <f ca="1">IF(Build!AA529,OFFSET(Spells!E$2,Build!AA529,0),"")</f>
      </c>
      <c r="Z37" s="678"/>
      <c r="AA37" s="678"/>
      <c r="AB37" s="678"/>
      <c r="AC37" s="678"/>
      <c r="AD37" s="433">
        <f ca="1">IF(Build!AA529,OFFSET(Spells!F$2,Build!AA529,0),"")</f>
      </c>
      <c r="AE37" s="433"/>
      <c r="AF37" s="433"/>
      <c r="AG37" s="433"/>
      <c r="AH37" s="433"/>
      <c r="AI37" s="433">
        <f ca="1">IF(Build!AA529,OFFSET(Spells!G$2,Build!AA529,0),"")</f>
      </c>
      <c r="AJ37" s="433"/>
      <c r="AK37" s="433"/>
      <c r="AL37" s="433"/>
      <c r="AM37" s="433"/>
      <c r="AN37" s="433"/>
      <c r="AO37" s="433">
        <f ca="1">IF(AND(Build!AA529,LEN(OFFSET(Spells!H$2,Build!AA529,0))&lt;5),OFFSET(Spells!H$2,Build!AA529,0),"")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IF(Build!AA529,OFFSET(Spells!I$2,Build!AA529,0),"")</f>
      </c>
      <c r="BC37" s="433"/>
      <c r="BD37" s="433"/>
      <c r="BE37" s="433"/>
      <c r="BF37" s="433"/>
      <c r="BG37" s="621">
        <f ca="1">IF(Build!AA529,OFFSET(Spells!J$2,Build!AA529,0),"")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IF(Build!AA530,OFFSET(Spells!B$2,Build!AA530,0),"")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IF(Build!AA530,OFFSET(Spells!C$2,Build!AA530,0),"")</f>
      </c>
      <c r="T38" s="433"/>
      <c r="U38" s="433"/>
      <c r="V38" s="433">
        <f ca="1">IF(Build!AA530,OFFSET(Spells!D$2,Build!AA530,0),"")</f>
      </c>
      <c r="W38" s="433"/>
      <c r="X38" s="433"/>
      <c r="Y38" s="678">
        <f ca="1">IF(Build!AA530,OFFSET(Spells!E$2,Build!AA530,0),"")</f>
      </c>
      <c r="Z38" s="678"/>
      <c r="AA38" s="678"/>
      <c r="AB38" s="678"/>
      <c r="AC38" s="678"/>
      <c r="AD38" s="433">
        <f ca="1">IF(Build!AA530,OFFSET(Spells!F$2,Build!AA530,0),"")</f>
      </c>
      <c r="AE38" s="433"/>
      <c r="AF38" s="433"/>
      <c r="AG38" s="433"/>
      <c r="AH38" s="433"/>
      <c r="AI38" s="433">
        <f ca="1">IF(Build!AA530,OFFSET(Spells!G$2,Build!AA530,0),"")</f>
      </c>
      <c r="AJ38" s="433"/>
      <c r="AK38" s="433"/>
      <c r="AL38" s="433"/>
      <c r="AM38" s="433"/>
      <c r="AN38" s="433"/>
      <c r="AO38" s="433">
        <f ca="1">IF(AND(Build!AA530,LEN(OFFSET(Spells!H$2,Build!AA530,0))&lt;5),OFFSET(Spells!H$2,Build!AA530,0),"")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IF(Build!AA530,OFFSET(Spells!I$2,Build!AA530,0),"")</f>
      </c>
      <c r="BC38" s="433"/>
      <c r="BD38" s="433"/>
      <c r="BE38" s="433"/>
      <c r="BF38" s="433"/>
      <c r="BG38" s="621">
        <f ca="1">IF(Build!AA530,OFFSET(Spells!J$2,Build!AA530,0),"")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IF(Build!AA531,OFFSET(Spells!B$2,Build!AA531,0),"")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IF(Build!AA531,OFFSET(Spells!C$2,Build!AA531,0),"")</f>
      </c>
      <c r="T39" s="433"/>
      <c r="U39" s="433"/>
      <c r="V39" s="433">
        <f ca="1">IF(Build!AA531,OFFSET(Spells!D$2,Build!AA531,0),"")</f>
      </c>
      <c r="W39" s="433"/>
      <c r="X39" s="433"/>
      <c r="Y39" s="678">
        <f ca="1">IF(Build!AA531,OFFSET(Spells!E$2,Build!AA531,0),"")</f>
      </c>
      <c r="Z39" s="678"/>
      <c r="AA39" s="678"/>
      <c r="AB39" s="678"/>
      <c r="AC39" s="678"/>
      <c r="AD39" s="433">
        <f ca="1">IF(Build!AA531,OFFSET(Spells!F$2,Build!AA531,0),"")</f>
      </c>
      <c r="AE39" s="433"/>
      <c r="AF39" s="433"/>
      <c r="AG39" s="433"/>
      <c r="AH39" s="433"/>
      <c r="AI39" s="433">
        <f ca="1">IF(Build!AA531,OFFSET(Spells!G$2,Build!AA531,0),"")</f>
      </c>
      <c r="AJ39" s="433"/>
      <c r="AK39" s="433"/>
      <c r="AL39" s="433"/>
      <c r="AM39" s="433"/>
      <c r="AN39" s="433"/>
      <c r="AO39" s="433">
        <f ca="1">IF(AND(Build!AA531,LEN(OFFSET(Spells!H$2,Build!AA531,0))&lt;5),OFFSET(Spells!H$2,Build!AA531,0),"")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IF(Build!AA531,OFFSET(Spells!I$2,Build!AA531,0),"")</f>
      </c>
      <c r="BC39" s="433"/>
      <c r="BD39" s="433"/>
      <c r="BE39" s="433"/>
      <c r="BF39" s="433"/>
      <c r="BG39" s="621">
        <f ca="1">IF(Build!AA531,OFFSET(Spells!J$2,Build!AA531,0),"")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IF(Build!AA532,OFFSET(Spells!B$2,Build!AA532,0),"")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IF(Build!AA532,OFFSET(Spells!C$2,Build!AA532,0),"")</f>
      </c>
      <c r="T40" s="433"/>
      <c r="U40" s="433"/>
      <c r="V40" s="433">
        <f ca="1">IF(Build!AA532,OFFSET(Spells!D$2,Build!AA532,0),"")</f>
      </c>
      <c r="W40" s="433"/>
      <c r="X40" s="433"/>
      <c r="Y40" s="678">
        <f ca="1">IF(Build!AA532,OFFSET(Spells!E$2,Build!AA532,0),"")</f>
      </c>
      <c r="Z40" s="678"/>
      <c r="AA40" s="678"/>
      <c r="AB40" s="678"/>
      <c r="AC40" s="678"/>
      <c r="AD40" s="433">
        <f ca="1">IF(Build!AA532,OFFSET(Spells!F$2,Build!AA532,0),"")</f>
      </c>
      <c r="AE40" s="433"/>
      <c r="AF40" s="433"/>
      <c r="AG40" s="433"/>
      <c r="AH40" s="433"/>
      <c r="AI40" s="433">
        <f ca="1">IF(Build!AA532,OFFSET(Spells!G$2,Build!AA532,0),"")</f>
      </c>
      <c r="AJ40" s="433"/>
      <c r="AK40" s="433"/>
      <c r="AL40" s="433"/>
      <c r="AM40" s="433"/>
      <c r="AN40" s="433"/>
      <c r="AO40" s="433">
        <f ca="1">IF(AND(Build!AA532,LEN(OFFSET(Spells!H$2,Build!AA532,0))&lt;5),OFFSET(Spells!H$2,Build!AA532,0),"")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IF(Build!AA532,OFFSET(Spells!I$2,Build!AA532,0),"")</f>
      </c>
      <c r="BC40" s="433"/>
      <c r="BD40" s="433"/>
      <c r="BE40" s="433"/>
      <c r="BF40" s="433"/>
      <c r="BG40" s="621">
        <f ca="1">IF(Build!AA532,OFFSET(Spells!J$2,Build!AA532,0),"")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IF(Build!AA533,OFFSET(Spells!B$2,Build!AA533,0),"")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IF(Build!AA533,OFFSET(Spells!C$2,Build!AA533,0),"")</f>
      </c>
      <c r="T41" s="433"/>
      <c r="U41" s="433"/>
      <c r="V41" s="433">
        <f ca="1">IF(Build!AA533,OFFSET(Spells!D$2,Build!AA533,0),"")</f>
      </c>
      <c r="W41" s="433"/>
      <c r="X41" s="433"/>
      <c r="Y41" s="678">
        <f ca="1">IF(Build!AA533,OFFSET(Spells!E$2,Build!AA533,0),"")</f>
      </c>
      <c r="Z41" s="678"/>
      <c r="AA41" s="678"/>
      <c r="AB41" s="678"/>
      <c r="AC41" s="678"/>
      <c r="AD41" s="433">
        <f ca="1">IF(Build!AA533,OFFSET(Spells!F$2,Build!AA533,0),"")</f>
      </c>
      <c r="AE41" s="433"/>
      <c r="AF41" s="433"/>
      <c r="AG41" s="433"/>
      <c r="AH41" s="433"/>
      <c r="AI41" s="433">
        <f ca="1">IF(Build!AA533,OFFSET(Spells!G$2,Build!AA533,0),"")</f>
      </c>
      <c r="AJ41" s="433"/>
      <c r="AK41" s="433"/>
      <c r="AL41" s="433"/>
      <c r="AM41" s="433"/>
      <c r="AN41" s="433"/>
      <c r="AO41" s="433">
        <f ca="1">IF(AND(Build!AA533,LEN(OFFSET(Spells!H$2,Build!AA533,0))&lt;5),OFFSET(Spells!H$2,Build!AA533,0),"")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IF(Build!AA533,OFFSET(Spells!I$2,Build!AA533,0),"")</f>
      </c>
      <c r="BC41" s="433"/>
      <c r="BD41" s="433"/>
      <c r="BE41" s="433"/>
      <c r="BF41" s="433"/>
      <c r="BG41" s="621">
        <f ca="1">IF(Build!AA533,OFFSET(Spells!J$2,Build!AA533,0),"")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 thickBot="1">
      <c r="A42" s="579"/>
      <c r="B42" s="578"/>
      <c r="C42" s="578"/>
      <c r="D42" s="610">
        <f ca="1">IF(Build!AA534,OFFSET(Spells!B$2,Build!AA534,0),"")</f>
      </c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578">
        <f ca="1">IF(Build!AA534,OFFSET(Spells!C$2,Build!AA534,0),"")</f>
      </c>
      <c r="T42" s="578"/>
      <c r="U42" s="578"/>
      <c r="V42" s="578">
        <f ca="1">IF(Build!AA534,OFFSET(Spells!D$2,Build!AA534,0),"")</f>
      </c>
      <c r="W42" s="578"/>
      <c r="X42" s="578"/>
      <c r="Y42" s="677">
        <f ca="1">IF(Build!AA534,OFFSET(Spells!E$2,Build!AA534,0),"")</f>
      </c>
      <c r="Z42" s="677"/>
      <c r="AA42" s="677"/>
      <c r="AB42" s="677"/>
      <c r="AC42" s="677"/>
      <c r="AD42" s="578">
        <f ca="1">IF(Build!AA534,OFFSET(Spells!F$2,Build!AA534,0),"")</f>
      </c>
      <c r="AE42" s="578"/>
      <c r="AF42" s="578"/>
      <c r="AG42" s="578"/>
      <c r="AH42" s="578"/>
      <c r="AI42" s="578">
        <f ca="1">IF(Build!AA534,OFFSET(Spells!G$2,Build!AA534,0),"")</f>
      </c>
      <c r="AJ42" s="578"/>
      <c r="AK42" s="578"/>
      <c r="AL42" s="578"/>
      <c r="AM42" s="578"/>
      <c r="AN42" s="578"/>
      <c r="AO42" s="578">
        <f ca="1">IF(AND(Build!AA534,LEN(OFFSET(Spells!H$2,Build!AA534,0))&lt;5),OFFSET(Spells!H$2,Build!AA534,0),"")</f>
      </c>
      <c r="AP42" s="578"/>
      <c r="AQ42" s="578"/>
      <c r="AR42" s="149">
        <f t="shared" si="0"/>
      </c>
      <c r="AS42" s="578">
        <f>IF(AO42&lt;&gt;"",VLOOKUP(LEFT(AO42,FIND("+",AO42&amp;"+")-1),Build!X$480:Y$486,2,0)+IF(LEN(AO42)&gt;2,MID(AO42,FIND("+",AO42&amp;"+")+1,2),0),"")</f>
      </c>
      <c r="AT42" s="578"/>
      <c r="AU42" s="578">
        <f ca="1" t="shared" si="1"/>
      </c>
      <c r="AV42" s="578"/>
      <c r="AW42" s="578"/>
      <c r="AX42" s="578"/>
      <c r="AY42" s="578"/>
      <c r="AZ42" s="578"/>
      <c r="BA42" s="578"/>
      <c r="BB42" s="578">
        <f ca="1">IF(Build!AA534,OFFSET(Spells!I$2,Build!AA534,0),"")</f>
      </c>
      <c r="BC42" s="578"/>
      <c r="BD42" s="578"/>
      <c r="BE42" s="578"/>
      <c r="BF42" s="578"/>
      <c r="BG42" s="623">
        <f ca="1">IF(Build!AA534,OFFSET(Spells!J$2,Build!AA534,0),"")</f>
      </c>
      <c r="BH42" s="623"/>
      <c r="BI42" s="623"/>
      <c r="BJ42" s="623"/>
      <c r="BK42" s="623"/>
      <c r="BL42" s="623"/>
      <c r="BM42" s="623"/>
      <c r="BN42" s="623"/>
      <c r="BO42" s="623"/>
      <c r="BP42" s="623"/>
      <c r="BQ42" s="623"/>
      <c r="BR42" s="623"/>
      <c r="BS42" s="623"/>
      <c r="BT42" s="623"/>
      <c r="BU42" s="623"/>
      <c r="BV42" s="623"/>
      <c r="BW42" s="623"/>
      <c r="BX42" s="623"/>
      <c r="BY42" s="623"/>
      <c r="BZ42" s="623"/>
      <c r="CA42" s="623"/>
      <c r="CB42" s="623"/>
      <c r="CC42" s="623"/>
      <c r="CD42" s="623"/>
      <c r="CE42" s="623"/>
      <c r="CF42" s="682"/>
    </row>
  </sheetData>
  <mergeCells count="457">
    <mergeCell ref="BG40:CF40"/>
    <mergeCell ref="BG41:CF41"/>
    <mergeCell ref="BG42:CF42"/>
    <mergeCell ref="AO6:AQ6"/>
    <mergeCell ref="BG36:CF36"/>
    <mergeCell ref="BG37:CF37"/>
    <mergeCell ref="BG38:CF38"/>
    <mergeCell ref="BG39:CF39"/>
    <mergeCell ref="BG32:CF32"/>
    <mergeCell ref="BG33:CF33"/>
    <mergeCell ref="BG34:CF34"/>
    <mergeCell ref="BG35:CF35"/>
    <mergeCell ref="BG28:CF28"/>
    <mergeCell ref="BG29:CF29"/>
    <mergeCell ref="BG30:CF30"/>
    <mergeCell ref="BG31:CF31"/>
    <mergeCell ref="BG24:CF24"/>
    <mergeCell ref="BG25:CF25"/>
    <mergeCell ref="BG26:CF26"/>
    <mergeCell ref="BG27:CF27"/>
    <mergeCell ref="BG19:CF19"/>
    <mergeCell ref="BG20:CF20"/>
    <mergeCell ref="BG21:CF21"/>
    <mergeCell ref="BG22:CF22"/>
    <mergeCell ref="BG13:CF13"/>
    <mergeCell ref="BG14:CF14"/>
    <mergeCell ref="BG15:CF15"/>
    <mergeCell ref="BG16:CF16"/>
    <mergeCell ref="BB40:BF40"/>
    <mergeCell ref="BB41:BF41"/>
    <mergeCell ref="BB42:BF42"/>
    <mergeCell ref="BG6:CF6"/>
    <mergeCell ref="BG7:CF7"/>
    <mergeCell ref="BG8:CF8"/>
    <mergeCell ref="BG9:CF9"/>
    <mergeCell ref="BG10:CF10"/>
    <mergeCell ref="BG11:CF11"/>
    <mergeCell ref="BG12:CF12"/>
    <mergeCell ref="BB36:BF36"/>
    <mergeCell ref="BB37:BF37"/>
    <mergeCell ref="BB38:BF38"/>
    <mergeCell ref="BB39:BF39"/>
    <mergeCell ref="BB32:BF32"/>
    <mergeCell ref="BB33:BF33"/>
    <mergeCell ref="BB34:BF34"/>
    <mergeCell ref="BB35:BF35"/>
    <mergeCell ref="BB28:BF28"/>
    <mergeCell ref="BB29:BF29"/>
    <mergeCell ref="BB30:BF30"/>
    <mergeCell ref="BB31:BF31"/>
    <mergeCell ref="BB24:BF24"/>
    <mergeCell ref="BB25:BF25"/>
    <mergeCell ref="BB26:BF26"/>
    <mergeCell ref="BB27:BF27"/>
    <mergeCell ref="BB19:BF19"/>
    <mergeCell ref="BB20:BF20"/>
    <mergeCell ref="BB21:BF21"/>
    <mergeCell ref="BB22:BF22"/>
    <mergeCell ref="BB14:BF14"/>
    <mergeCell ref="BB15:BF15"/>
    <mergeCell ref="BB16:BF16"/>
    <mergeCell ref="BB17:BF17"/>
    <mergeCell ref="AO42:AQ42"/>
    <mergeCell ref="BB6:BF6"/>
    <mergeCell ref="BB7:BF7"/>
    <mergeCell ref="BB8:BF8"/>
    <mergeCell ref="BB9:BF9"/>
    <mergeCell ref="BB10:BF10"/>
    <mergeCell ref="BB11:BF11"/>
    <mergeCell ref="BB12:BF12"/>
    <mergeCell ref="BB13:BF13"/>
    <mergeCell ref="AO37:AQ37"/>
    <mergeCell ref="AO38:AQ38"/>
    <mergeCell ref="AO39:AQ39"/>
    <mergeCell ref="AO40:AQ40"/>
    <mergeCell ref="AO33:AQ33"/>
    <mergeCell ref="AO34:AQ34"/>
    <mergeCell ref="AO35:AQ35"/>
    <mergeCell ref="AO36:AQ36"/>
    <mergeCell ref="AO29:AQ29"/>
    <mergeCell ref="AO30:AQ30"/>
    <mergeCell ref="AO31:AQ31"/>
    <mergeCell ref="AO32:AQ32"/>
    <mergeCell ref="AO25:AQ25"/>
    <mergeCell ref="AO26:AQ26"/>
    <mergeCell ref="AO27:AQ27"/>
    <mergeCell ref="AO28:AQ28"/>
    <mergeCell ref="AO21:AQ21"/>
    <mergeCell ref="AO22:AQ22"/>
    <mergeCell ref="AO23:AQ23"/>
    <mergeCell ref="AO24:AQ24"/>
    <mergeCell ref="AO16:AQ16"/>
    <mergeCell ref="AO17:AQ17"/>
    <mergeCell ref="AO18:AQ18"/>
    <mergeCell ref="AO20:AQ20"/>
    <mergeCell ref="AO19:AQ19"/>
    <mergeCell ref="AO7:AQ7"/>
    <mergeCell ref="AO8:AQ8"/>
    <mergeCell ref="AO9:AQ9"/>
    <mergeCell ref="AO10:AQ10"/>
    <mergeCell ref="AO11:AQ11"/>
    <mergeCell ref="AO12:AQ12"/>
    <mergeCell ref="AO13:AQ13"/>
    <mergeCell ref="AO14:AQ14"/>
    <mergeCell ref="AO15:AQ15"/>
    <mergeCell ref="A1:AP5"/>
    <mergeCell ref="AD6:AH6"/>
    <mergeCell ref="Y6:AC6"/>
    <mergeCell ref="V6:X6"/>
    <mergeCell ref="D11:R11"/>
    <mergeCell ref="D12:R12"/>
    <mergeCell ref="D13:R13"/>
    <mergeCell ref="D14:R14"/>
    <mergeCell ref="D15:R15"/>
    <mergeCell ref="AS6:AT6"/>
    <mergeCell ref="AU6:BA6"/>
    <mergeCell ref="CA2:CF2"/>
    <mergeCell ref="CA3:CF3"/>
    <mergeCell ref="CA4:CF4"/>
    <mergeCell ref="BV2:BW2"/>
    <mergeCell ref="BV3:BW3"/>
    <mergeCell ref="BV4:BW4"/>
    <mergeCell ref="BY2:BZ2"/>
    <mergeCell ref="BY3:BZ3"/>
    <mergeCell ref="BY4:BZ4"/>
    <mergeCell ref="D10:R10"/>
    <mergeCell ref="BS2:BT2"/>
    <mergeCell ref="BS3:BT3"/>
    <mergeCell ref="BS4:BT4"/>
    <mergeCell ref="S10:U10"/>
    <mergeCell ref="AI6:AN6"/>
    <mergeCell ref="D6:R6"/>
    <mergeCell ref="AD7:AH7"/>
    <mergeCell ref="D7:R7"/>
    <mergeCell ref="D16:R16"/>
    <mergeCell ref="D17:R17"/>
    <mergeCell ref="D18:R18"/>
    <mergeCell ref="D19:R19"/>
    <mergeCell ref="D20:R20"/>
    <mergeCell ref="D21:R21"/>
    <mergeCell ref="D22:R22"/>
    <mergeCell ref="D30:R30"/>
    <mergeCell ref="D23:R23"/>
    <mergeCell ref="D24:R24"/>
    <mergeCell ref="D25:R25"/>
    <mergeCell ref="D26:R26"/>
    <mergeCell ref="D27:R27"/>
    <mergeCell ref="D28:R28"/>
    <mergeCell ref="D29:R29"/>
    <mergeCell ref="D41:R41"/>
    <mergeCell ref="D42:R42"/>
    <mergeCell ref="D35:R35"/>
    <mergeCell ref="D36:R36"/>
    <mergeCell ref="D37:R37"/>
    <mergeCell ref="D38:R38"/>
    <mergeCell ref="D39:R39"/>
    <mergeCell ref="D40:R40"/>
    <mergeCell ref="D31:R31"/>
    <mergeCell ref="D32:R32"/>
    <mergeCell ref="D33:R33"/>
    <mergeCell ref="D34:R34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42:U42"/>
    <mergeCell ref="D9:R9"/>
    <mergeCell ref="AD9:AH9"/>
    <mergeCell ref="D8:R8"/>
    <mergeCell ref="Y9:AC9"/>
    <mergeCell ref="V9:X9"/>
    <mergeCell ref="AD8:AH8"/>
    <mergeCell ref="S9:U9"/>
    <mergeCell ref="V10:X10"/>
    <mergeCell ref="Y11:AC11"/>
    <mergeCell ref="S7:U7"/>
    <mergeCell ref="S8:U8"/>
    <mergeCell ref="Y7:AC7"/>
    <mergeCell ref="S6:U6"/>
    <mergeCell ref="V7:X7"/>
    <mergeCell ref="V8:X8"/>
    <mergeCell ref="AI7:AN7"/>
    <mergeCell ref="AI8:AN8"/>
    <mergeCell ref="Y8:AC8"/>
    <mergeCell ref="Y10:AC10"/>
    <mergeCell ref="AD10:AH10"/>
    <mergeCell ref="AI10:AN10"/>
    <mergeCell ref="AI9:AN9"/>
    <mergeCell ref="V11:X11"/>
    <mergeCell ref="AD11:AH11"/>
    <mergeCell ref="AI11:AN11"/>
    <mergeCell ref="Y13:AC13"/>
    <mergeCell ref="V13:X13"/>
    <mergeCell ref="AD13:AH13"/>
    <mergeCell ref="AI13:AN13"/>
    <mergeCell ref="Y12:AC12"/>
    <mergeCell ref="V12:X12"/>
    <mergeCell ref="AD12:AH12"/>
    <mergeCell ref="AI12:AN12"/>
    <mergeCell ref="Y15:AC15"/>
    <mergeCell ref="V15:X15"/>
    <mergeCell ref="AD15:AH15"/>
    <mergeCell ref="AI15:AN15"/>
    <mergeCell ref="Y14:AC14"/>
    <mergeCell ref="V14:X14"/>
    <mergeCell ref="AD14:AH14"/>
    <mergeCell ref="AI14:AN14"/>
    <mergeCell ref="Y17:AC17"/>
    <mergeCell ref="V17:X17"/>
    <mergeCell ref="AD17:AH17"/>
    <mergeCell ref="AI17:AN17"/>
    <mergeCell ref="Y16:AC16"/>
    <mergeCell ref="V16:X16"/>
    <mergeCell ref="AD16:AH16"/>
    <mergeCell ref="AI16:AN16"/>
    <mergeCell ref="Y19:AC19"/>
    <mergeCell ref="V19:X19"/>
    <mergeCell ref="AD19:AH19"/>
    <mergeCell ref="AI19:AN19"/>
    <mergeCell ref="Y18:AC18"/>
    <mergeCell ref="V18:X18"/>
    <mergeCell ref="AD18:AH18"/>
    <mergeCell ref="AI18:AN18"/>
    <mergeCell ref="Y21:AC21"/>
    <mergeCell ref="V21:X21"/>
    <mergeCell ref="AD21:AH21"/>
    <mergeCell ref="AI21:AN21"/>
    <mergeCell ref="Y20:AC20"/>
    <mergeCell ref="V20:X20"/>
    <mergeCell ref="AD20:AH20"/>
    <mergeCell ref="AI20:AN20"/>
    <mergeCell ref="Y23:AC23"/>
    <mergeCell ref="V23:X23"/>
    <mergeCell ref="AD23:AH23"/>
    <mergeCell ref="AI23:AN23"/>
    <mergeCell ref="Y22:AC22"/>
    <mergeCell ref="V22:X22"/>
    <mergeCell ref="AD22:AH22"/>
    <mergeCell ref="AI22:AN22"/>
    <mergeCell ref="Y25:AC25"/>
    <mergeCell ref="V25:X25"/>
    <mergeCell ref="AD25:AH25"/>
    <mergeCell ref="AI25:AN25"/>
    <mergeCell ref="Y24:AC24"/>
    <mergeCell ref="V24:X24"/>
    <mergeCell ref="AD24:AH24"/>
    <mergeCell ref="AI24:AN24"/>
    <mergeCell ref="Y27:AC27"/>
    <mergeCell ref="V27:X27"/>
    <mergeCell ref="AD27:AH27"/>
    <mergeCell ref="AI27:AN27"/>
    <mergeCell ref="Y26:AC26"/>
    <mergeCell ref="V26:X26"/>
    <mergeCell ref="AD26:AH26"/>
    <mergeCell ref="AI26:AN26"/>
    <mergeCell ref="Y29:AC29"/>
    <mergeCell ref="V29:X29"/>
    <mergeCell ref="AD29:AH29"/>
    <mergeCell ref="AI29:AN29"/>
    <mergeCell ref="Y28:AC28"/>
    <mergeCell ref="V28:X28"/>
    <mergeCell ref="AD28:AH28"/>
    <mergeCell ref="AI28:AN28"/>
    <mergeCell ref="Y31:AC31"/>
    <mergeCell ref="V31:X31"/>
    <mergeCell ref="AD31:AH31"/>
    <mergeCell ref="AI31:AN31"/>
    <mergeCell ref="Y30:AC30"/>
    <mergeCell ref="V30:X30"/>
    <mergeCell ref="AD30:AH30"/>
    <mergeCell ref="AI30:AN30"/>
    <mergeCell ref="Y33:AC33"/>
    <mergeCell ref="V33:X33"/>
    <mergeCell ref="AD33:AH33"/>
    <mergeCell ref="AI33:AN33"/>
    <mergeCell ref="Y32:AC32"/>
    <mergeCell ref="V32:X32"/>
    <mergeCell ref="AD32:AH32"/>
    <mergeCell ref="AI32:AN32"/>
    <mergeCell ref="Y35:AC35"/>
    <mergeCell ref="V35:X35"/>
    <mergeCell ref="AD35:AH35"/>
    <mergeCell ref="AI35:AN35"/>
    <mergeCell ref="Y34:AC34"/>
    <mergeCell ref="V34:X34"/>
    <mergeCell ref="AD34:AH34"/>
    <mergeCell ref="AI34:AN34"/>
    <mergeCell ref="Y37:AC37"/>
    <mergeCell ref="V37:X37"/>
    <mergeCell ref="AD37:AH37"/>
    <mergeCell ref="AI37:AN37"/>
    <mergeCell ref="Y36:AC36"/>
    <mergeCell ref="V36:X36"/>
    <mergeCell ref="AD36:AH36"/>
    <mergeCell ref="AI36:AN36"/>
    <mergeCell ref="Y39:AC39"/>
    <mergeCell ref="V39:X39"/>
    <mergeCell ref="AD39:AH39"/>
    <mergeCell ref="AI39:AN39"/>
    <mergeCell ref="Y38:AC38"/>
    <mergeCell ref="V38:X38"/>
    <mergeCell ref="AD38:AH38"/>
    <mergeCell ref="AI38:AN38"/>
    <mergeCell ref="AI41:AN41"/>
    <mergeCell ref="Y40:AC40"/>
    <mergeCell ref="V40:X40"/>
    <mergeCell ref="AD40:AH40"/>
    <mergeCell ref="AI40:AN40"/>
    <mergeCell ref="AO41:AQ41"/>
    <mergeCell ref="AU10:BA10"/>
    <mergeCell ref="Y42:AC42"/>
    <mergeCell ref="V42:X42"/>
    <mergeCell ref="AD42:AH42"/>
    <mergeCell ref="AI42:AN42"/>
    <mergeCell ref="Y41:AC41"/>
    <mergeCell ref="V41:X41"/>
    <mergeCell ref="AD41:AH41"/>
    <mergeCell ref="AU15:BA15"/>
    <mergeCell ref="AU16:BA16"/>
    <mergeCell ref="AU11:BA11"/>
    <mergeCell ref="AU12:BA12"/>
    <mergeCell ref="AU13:BA13"/>
    <mergeCell ref="AU14:BA14"/>
    <mergeCell ref="AS23:AT23"/>
    <mergeCell ref="AS24:AT24"/>
    <mergeCell ref="AS15:AT15"/>
    <mergeCell ref="AS16:AT16"/>
    <mergeCell ref="AS17:AT17"/>
    <mergeCell ref="AS18:AT18"/>
    <mergeCell ref="AS19:AT19"/>
    <mergeCell ref="AS20:AT20"/>
    <mergeCell ref="AS21:AT21"/>
    <mergeCell ref="AS22:AT22"/>
    <mergeCell ref="AS25:AT25"/>
    <mergeCell ref="AS26:AT26"/>
    <mergeCell ref="AU31:BA31"/>
    <mergeCell ref="AU32:BA32"/>
    <mergeCell ref="AS27:AT27"/>
    <mergeCell ref="AS28:AT28"/>
    <mergeCell ref="AS29:AT29"/>
    <mergeCell ref="AS30:AT30"/>
    <mergeCell ref="AU29:BA29"/>
    <mergeCell ref="AU30:BA30"/>
    <mergeCell ref="AS31:AT31"/>
    <mergeCell ref="AS32:AT32"/>
    <mergeCell ref="AS33:AT33"/>
    <mergeCell ref="AS34:AT34"/>
    <mergeCell ref="AS35:AT35"/>
    <mergeCell ref="AS36:AT36"/>
    <mergeCell ref="AS37:AT37"/>
    <mergeCell ref="AS38:AT38"/>
    <mergeCell ref="AS39:AT39"/>
    <mergeCell ref="AS40:AT40"/>
    <mergeCell ref="AS41:AT41"/>
    <mergeCell ref="AS42:AT42"/>
    <mergeCell ref="AS11:AT11"/>
    <mergeCell ref="AS12:AT12"/>
    <mergeCell ref="AS13:AT13"/>
    <mergeCell ref="AS14:AT14"/>
    <mergeCell ref="BB23:BF23"/>
    <mergeCell ref="BG23:CF23"/>
    <mergeCell ref="A14:C14"/>
    <mergeCell ref="AS10:AT10"/>
    <mergeCell ref="A10:C10"/>
    <mergeCell ref="A11:C11"/>
    <mergeCell ref="A12:C12"/>
    <mergeCell ref="A13:C13"/>
    <mergeCell ref="A15:C15"/>
    <mergeCell ref="A16:C16"/>
    <mergeCell ref="A17:C17"/>
    <mergeCell ref="A18:C18"/>
    <mergeCell ref="A19:C19"/>
    <mergeCell ref="A20:C20"/>
    <mergeCell ref="A25:C25"/>
    <mergeCell ref="A26:C26"/>
    <mergeCell ref="A27:C27"/>
    <mergeCell ref="A28:C28"/>
    <mergeCell ref="A34:C34"/>
    <mergeCell ref="A41:C41"/>
    <mergeCell ref="A42:C42"/>
    <mergeCell ref="A35:C35"/>
    <mergeCell ref="A36:C36"/>
    <mergeCell ref="A37:C37"/>
    <mergeCell ref="A38:C38"/>
    <mergeCell ref="A39:C39"/>
    <mergeCell ref="A40:C40"/>
    <mergeCell ref="BB18:BF18"/>
    <mergeCell ref="A31:C31"/>
    <mergeCell ref="A32:C32"/>
    <mergeCell ref="A33:C33"/>
    <mergeCell ref="A21:C21"/>
    <mergeCell ref="A22:C22"/>
    <mergeCell ref="A29:C29"/>
    <mergeCell ref="A30:C30"/>
    <mergeCell ref="A23:C23"/>
    <mergeCell ref="A24:C24"/>
    <mergeCell ref="BG17:CF17"/>
    <mergeCell ref="BG18:CF18"/>
    <mergeCell ref="AS7:AT7"/>
    <mergeCell ref="AS8:AT8"/>
    <mergeCell ref="AS9:AT9"/>
    <mergeCell ref="AU17:BA17"/>
    <mergeCell ref="AU18:BA18"/>
    <mergeCell ref="AU7:BA7"/>
    <mergeCell ref="AU8:BA8"/>
    <mergeCell ref="AU9:BA9"/>
    <mergeCell ref="A6:C6"/>
    <mergeCell ref="A7:C7"/>
    <mergeCell ref="A8:C8"/>
    <mergeCell ref="A9:C9"/>
    <mergeCell ref="AU37:BA37"/>
    <mergeCell ref="AU38:BA38"/>
    <mergeCell ref="AU19:BA19"/>
    <mergeCell ref="AU20:BA20"/>
    <mergeCell ref="AU25:BA25"/>
    <mergeCell ref="AU26:BA26"/>
    <mergeCell ref="AU23:BA23"/>
    <mergeCell ref="AU24:BA24"/>
    <mergeCell ref="AU21:BA21"/>
    <mergeCell ref="AU22:BA22"/>
    <mergeCell ref="AU27:BA27"/>
    <mergeCell ref="AU28:BA28"/>
    <mergeCell ref="AU41:BA41"/>
    <mergeCell ref="AU42:BA42"/>
    <mergeCell ref="AU33:BA33"/>
    <mergeCell ref="AU34:BA34"/>
    <mergeCell ref="AU35:BA35"/>
    <mergeCell ref="AU36:BA36"/>
    <mergeCell ref="AU39:BA39"/>
    <mergeCell ref="AU40:BA40"/>
  </mergeCells>
  <printOptions/>
  <pageMargins left="0" right="0" top="0.393700787401575" bottom="0.393700787401575" header="0.118110236220472" footer="0.118110236220472"/>
  <pageSetup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42"/>
  <sheetViews>
    <sheetView view="pageBreakPreview" zoomScale="60" zoomScaleNormal="75" workbookViewId="0" topLeftCell="A1">
      <selection activeCell="BS5" sqref="BS5"/>
    </sheetView>
  </sheetViews>
  <sheetFormatPr defaultColWidth="9.33203125" defaultRowHeight="12.75"/>
  <cols>
    <col min="1" max="16384" width="1.83203125" style="1" customWidth="1"/>
  </cols>
  <sheetData>
    <row r="1" spans="1:133" ht="12.75" customHeight="1">
      <c r="A1" s="680" t="s">
        <v>1121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293"/>
      <c r="AR1" s="330">
        <f ca="1">IF(Build!BN499,OFFSET(Build!BP$498,Build!BN499,0),"")</f>
      </c>
      <c r="AS1" s="331"/>
      <c r="AT1" s="235"/>
      <c r="AU1" s="235"/>
      <c r="AV1" s="235"/>
      <c r="AW1" s="235"/>
      <c r="AX1" s="235"/>
      <c r="AY1" s="235"/>
      <c r="AZ1" s="235"/>
      <c r="BA1" s="338">
        <f ca="1">IF(Build!BN503,OFFSET(Build!BP$498,Build!BN503,0),"")</f>
      </c>
      <c r="BB1" s="235"/>
      <c r="BC1" s="235"/>
      <c r="BD1" s="235"/>
      <c r="BE1" s="235"/>
      <c r="BF1" s="235"/>
      <c r="BG1" s="235"/>
      <c r="BH1" s="235"/>
      <c r="BI1" s="332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203"/>
      <c r="CC1" s="30"/>
      <c r="CD1" s="30"/>
      <c r="CE1" s="203"/>
      <c r="CF1" s="199"/>
      <c r="CG1" s="41"/>
      <c r="CH1" s="41"/>
      <c r="CI1" s="41"/>
      <c r="CJ1" s="41"/>
      <c r="CK1" s="41"/>
      <c r="CL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</row>
    <row r="2" spans="1:133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293"/>
      <c r="AR2" s="333">
        <f ca="1">IF(Build!BN500,OFFSET(Build!BP$498,Build!BN500,0),"")</f>
      </c>
      <c r="AS2" s="6"/>
      <c r="AT2" s="124"/>
      <c r="AU2" s="124"/>
      <c r="AV2" s="124"/>
      <c r="AW2" s="124"/>
      <c r="AX2" s="124"/>
      <c r="AY2" s="124"/>
      <c r="AZ2" s="124"/>
      <c r="BA2" s="339">
        <f ca="1">IF(Build!BN504,OFFSET(Build!BP$498,Build!BN504,0),"")</f>
      </c>
      <c r="BB2" s="124"/>
      <c r="BC2" s="124"/>
      <c r="BD2" s="124"/>
      <c r="BE2" s="124"/>
      <c r="BF2" s="124"/>
      <c r="BG2" s="124"/>
      <c r="BH2" s="124"/>
      <c r="BI2" s="334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Build!V482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Build!W482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  <c r="CG2" s="41"/>
      <c r="CH2" s="41"/>
      <c r="CI2" s="41"/>
      <c r="CJ2" s="41"/>
      <c r="CK2" s="41"/>
      <c r="CL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293"/>
      <c r="AR3" s="333">
        <f ca="1">IF(Build!BN501,OFFSET(Build!BP$498,Build!BN501,0),"")</f>
      </c>
      <c r="AS3" s="6"/>
      <c r="AT3" s="124"/>
      <c r="AU3" s="124"/>
      <c r="AV3" s="124"/>
      <c r="AW3" s="124"/>
      <c r="AX3" s="124"/>
      <c r="AY3" s="124"/>
      <c r="AZ3" s="124"/>
      <c r="BA3" s="339">
        <f ca="1">IF(Build!BN505,OFFSET(Build!BP$498,Build!BN505,0),"")</f>
      </c>
      <c r="BB3" s="124"/>
      <c r="BC3" s="124"/>
      <c r="BD3" s="124"/>
      <c r="BE3" s="124"/>
      <c r="BF3" s="124"/>
      <c r="BG3" s="124"/>
      <c r="BH3" s="124"/>
      <c r="BI3" s="334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  <c r="CG3" s="41"/>
      <c r="CH3" s="41"/>
      <c r="CI3" s="41"/>
      <c r="CJ3" s="41"/>
      <c r="CK3" s="41"/>
      <c r="CL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</row>
    <row r="4" spans="1:131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293"/>
      <c r="AR4" s="335">
        <f ca="1">IF(Build!BN502,OFFSET(Build!BP$498,Build!BN502,0),"")</f>
      </c>
      <c r="AS4" s="12"/>
      <c r="AT4" s="336"/>
      <c r="AU4" s="336"/>
      <c r="AV4" s="336"/>
      <c r="AW4" s="336"/>
      <c r="AX4" s="336"/>
      <c r="AY4" s="336"/>
      <c r="AZ4" s="336"/>
      <c r="BA4" s="340">
        <f ca="1">IF(Build!BN506,OFFSET(Build!BP$498,Build!BN506,0),"")</f>
      </c>
      <c r="BB4" s="336"/>
      <c r="BC4" s="336"/>
      <c r="BD4" s="336"/>
      <c r="BE4" s="336"/>
      <c r="BF4" s="336"/>
      <c r="BG4" s="336"/>
      <c r="BH4" s="336"/>
      <c r="BI4" s="337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  <c r="CG4" s="41"/>
      <c r="CH4" s="41"/>
      <c r="CI4" s="41"/>
      <c r="CJ4" s="41"/>
      <c r="CK4" s="41"/>
      <c r="CL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</row>
    <row r="5" spans="1:131" ht="12.75" customHeight="1" thickBot="1">
      <c r="A5" s="681"/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41"/>
      <c r="BK5" s="41"/>
      <c r="BR5" s="172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IF(Build!AB499,OFFSET(Spells!L$2,Build!AB499,0),"")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IF(Build!AB499,OFFSET(Spells!M$2,Build!AB499,0),"")</f>
      </c>
      <c r="T7" s="433"/>
      <c r="U7" s="433"/>
      <c r="V7" s="433">
        <f ca="1">IF(Build!AB499,OFFSET(Spells!N$2,Build!AB499,0),"")</f>
      </c>
      <c r="W7" s="433"/>
      <c r="X7" s="433"/>
      <c r="Y7" s="678">
        <f ca="1">IF(Build!AB499,OFFSET(Spells!O$2,Build!AB499,0),"")</f>
      </c>
      <c r="Z7" s="678"/>
      <c r="AA7" s="678"/>
      <c r="AB7" s="678"/>
      <c r="AC7" s="678"/>
      <c r="AD7" s="433">
        <f ca="1">IF(Build!AB499,OFFSET(Spells!P$2,Build!AB499,0),"")</f>
      </c>
      <c r="AE7" s="433"/>
      <c r="AF7" s="433"/>
      <c r="AG7" s="433"/>
      <c r="AH7" s="433"/>
      <c r="AI7" s="433">
        <f ca="1">IF(Build!AB499,OFFSET(Spells!Q$2,Build!AB499,0),"")</f>
      </c>
      <c r="AJ7" s="433"/>
      <c r="AK7" s="433"/>
      <c r="AL7" s="433"/>
      <c r="AM7" s="433"/>
      <c r="AN7" s="433"/>
      <c r="AO7" s="433">
        <f ca="1">IF(AND(Build!AB499,LEN(OFFSET(Spells!R$2,Build!AB499,0))&lt;5),OFFSET(Spells!R$2,Build!AB499,0),"")</f>
      </c>
      <c r="AP7" s="433"/>
      <c r="AQ7" s="433"/>
      <c r="AR7" s="148">
        <f aca="true" t="shared" si="0" ref="AR7:AR42"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aca="true" ca="1" t="shared" si="1" ref="AU7:AU42">IF(AS7&lt;&gt;"",OFFSET(ActionDice,AS7,0),"")</f>
      </c>
      <c r="AV7" s="433"/>
      <c r="AW7" s="433"/>
      <c r="AX7" s="433"/>
      <c r="AY7" s="433"/>
      <c r="AZ7" s="433"/>
      <c r="BA7" s="433"/>
      <c r="BB7" s="433">
        <f ca="1">IF(Build!AB499,OFFSET(Spells!S$2,Build!AB499,0),"")</f>
      </c>
      <c r="BC7" s="433"/>
      <c r="BD7" s="433"/>
      <c r="BE7" s="433"/>
      <c r="BF7" s="433"/>
      <c r="BG7" s="621">
        <f ca="1">IF(Build!AB499,OFFSET(Spells!T$2,Build!AB499,0),"")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IF(Build!AB500,OFFSET(Spells!L$2,Build!AB500,0),"")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IF(Build!AB500,OFFSET(Spells!M$2,Build!AB500,0),"")</f>
      </c>
      <c r="T8" s="433"/>
      <c r="U8" s="433"/>
      <c r="V8" s="433">
        <f ca="1">IF(Build!AB500,OFFSET(Spells!N$2,Build!AB500,0),"")</f>
      </c>
      <c r="W8" s="433"/>
      <c r="X8" s="433"/>
      <c r="Y8" s="678">
        <f ca="1">IF(Build!AB500,OFFSET(Spells!O$2,Build!AB500,0),"")</f>
      </c>
      <c r="Z8" s="678"/>
      <c r="AA8" s="678"/>
      <c r="AB8" s="678"/>
      <c r="AC8" s="678"/>
      <c r="AD8" s="433">
        <f ca="1">IF(Build!AB500,OFFSET(Spells!P$2,Build!AB500,0),"")</f>
      </c>
      <c r="AE8" s="433"/>
      <c r="AF8" s="433"/>
      <c r="AG8" s="433"/>
      <c r="AH8" s="433"/>
      <c r="AI8" s="433">
        <f ca="1">IF(Build!AB500,OFFSET(Spells!Q$2,Build!AB500,0),"")</f>
      </c>
      <c r="AJ8" s="433"/>
      <c r="AK8" s="433"/>
      <c r="AL8" s="433"/>
      <c r="AM8" s="433"/>
      <c r="AN8" s="433"/>
      <c r="AO8" s="433">
        <f ca="1">IF(AND(Build!AB500,LEN(OFFSET(Spells!R$2,Build!AB500,0))&lt;5),OFFSET(Spells!R$2,Build!AB500,0),"")</f>
      </c>
      <c r="AP8" s="433"/>
      <c r="AQ8" s="433"/>
      <c r="AR8" s="148">
        <f t="shared" si="0"/>
      </c>
      <c r="AS8" s="433">
        <f>IF(AO8&lt;&gt;"",VLOOKUP(LEFT(AO8,FIND("+",AO8&amp;"+")-1),Build!X$480:Y$486,2,0)+IF(LEN(AO8)&gt;2,MID(AO8,FIND("+",AO8&amp;"+")+1,2),0),"")</f>
      </c>
      <c r="AT8" s="433"/>
      <c r="AU8" s="433">
        <f ca="1" t="shared" si="1"/>
      </c>
      <c r="AV8" s="433"/>
      <c r="AW8" s="433"/>
      <c r="AX8" s="433"/>
      <c r="AY8" s="433"/>
      <c r="AZ8" s="433"/>
      <c r="BA8" s="433"/>
      <c r="BB8" s="433">
        <f ca="1">IF(Build!AB500,OFFSET(Spells!S$2,Build!AB500,0),"")</f>
      </c>
      <c r="BC8" s="433"/>
      <c r="BD8" s="433"/>
      <c r="BE8" s="433"/>
      <c r="BF8" s="433"/>
      <c r="BG8" s="621">
        <f ca="1">IF(Build!AB500,OFFSET(Spells!T$2,Build!AB500,0),"")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IF(Build!AB501,OFFSET(Spells!L$2,Build!AB501,0),"")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IF(Build!AB501,OFFSET(Spells!M$2,Build!AB501,0),"")</f>
      </c>
      <c r="T9" s="433"/>
      <c r="U9" s="433"/>
      <c r="V9" s="433">
        <f ca="1">IF(Build!AB501,OFFSET(Spells!N$2,Build!AB501,0),"")</f>
      </c>
      <c r="W9" s="433"/>
      <c r="X9" s="433"/>
      <c r="Y9" s="678">
        <f ca="1">IF(Build!AB501,OFFSET(Spells!O$2,Build!AB501,0),"")</f>
      </c>
      <c r="Z9" s="678"/>
      <c r="AA9" s="678"/>
      <c r="AB9" s="678"/>
      <c r="AC9" s="678"/>
      <c r="AD9" s="433">
        <f ca="1">IF(Build!AB501,OFFSET(Spells!P$2,Build!AB501,0),"")</f>
      </c>
      <c r="AE9" s="433"/>
      <c r="AF9" s="433"/>
      <c r="AG9" s="433"/>
      <c r="AH9" s="433"/>
      <c r="AI9" s="433">
        <f ca="1">IF(Build!AB501,OFFSET(Spells!Q$2,Build!AB501,0),"")</f>
      </c>
      <c r="AJ9" s="433"/>
      <c r="AK9" s="433"/>
      <c r="AL9" s="433"/>
      <c r="AM9" s="433"/>
      <c r="AN9" s="433"/>
      <c r="AO9" s="433">
        <f ca="1">IF(AND(Build!AB501,LEN(OFFSET(Spells!R$2,Build!AB501,0))&lt;5),OFFSET(Spells!R$2,Build!AB501,0),"")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IF(Build!AB501,OFFSET(Spells!S$2,Build!AB501,0),"")</f>
      </c>
      <c r="BC9" s="433"/>
      <c r="BD9" s="433"/>
      <c r="BE9" s="433"/>
      <c r="BF9" s="433"/>
      <c r="BG9" s="621">
        <f ca="1">IF(Build!AB501,OFFSET(Spells!T$2,Build!AB501,0),"")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IF(Build!AB502,OFFSET(Spells!L$2,Build!AB502,0),"")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IF(Build!AB502,OFFSET(Spells!M$2,Build!AB502,0),"")</f>
      </c>
      <c r="T10" s="433"/>
      <c r="U10" s="433"/>
      <c r="V10" s="433">
        <f ca="1">IF(Build!AB502,OFFSET(Spells!N$2,Build!AB502,0),"")</f>
      </c>
      <c r="W10" s="433"/>
      <c r="X10" s="433"/>
      <c r="Y10" s="678">
        <f ca="1">IF(Build!AB502,OFFSET(Spells!O$2,Build!AB502,0),"")</f>
      </c>
      <c r="Z10" s="678"/>
      <c r="AA10" s="678"/>
      <c r="AB10" s="678"/>
      <c r="AC10" s="678"/>
      <c r="AD10" s="433">
        <f ca="1">IF(Build!AB502,OFFSET(Spells!P$2,Build!AB502,0),"")</f>
      </c>
      <c r="AE10" s="433"/>
      <c r="AF10" s="433"/>
      <c r="AG10" s="433"/>
      <c r="AH10" s="433"/>
      <c r="AI10" s="433">
        <f ca="1">IF(Build!AB502,OFFSET(Spells!Q$2,Build!AB502,0),"")</f>
      </c>
      <c r="AJ10" s="433"/>
      <c r="AK10" s="433"/>
      <c r="AL10" s="433"/>
      <c r="AM10" s="433"/>
      <c r="AN10" s="433"/>
      <c r="AO10" s="433">
        <f ca="1">IF(AND(Build!AB502,LEN(OFFSET(Spells!R$2,Build!AB502,0))&lt;5),OFFSET(Spells!R$2,Build!AB502,0),"")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IF(Build!AB502,OFFSET(Spells!S$2,Build!AB502,0),"")</f>
      </c>
      <c r="BC10" s="433"/>
      <c r="BD10" s="433"/>
      <c r="BE10" s="433"/>
      <c r="BF10" s="433"/>
      <c r="BG10" s="621">
        <f ca="1">IF(Build!AB502,OFFSET(Spells!T$2,Build!AB502,0),"")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IF(Build!AB503,OFFSET(Spells!L$2,Build!AB503,0),"")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IF(Build!AB503,OFFSET(Spells!M$2,Build!AB503,0),"")</f>
      </c>
      <c r="T11" s="433"/>
      <c r="U11" s="433"/>
      <c r="V11" s="433">
        <f ca="1">IF(Build!AB503,OFFSET(Spells!N$2,Build!AB503,0),"")</f>
      </c>
      <c r="W11" s="433"/>
      <c r="X11" s="433"/>
      <c r="Y11" s="678">
        <f ca="1">IF(Build!AB503,OFFSET(Spells!O$2,Build!AB503,0),"")</f>
      </c>
      <c r="Z11" s="678"/>
      <c r="AA11" s="678"/>
      <c r="AB11" s="678"/>
      <c r="AC11" s="678"/>
      <c r="AD11" s="433">
        <f ca="1">IF(Build!AB503,OFFSET(Spells!P$2,Build!AB503,0),"")</f>
      </c>
      <c r="AE11" s="433"/>
      <c r="AF11" s="433"/>
      <c r="AG11" s="433"/>
      <c r="AH11" s="433"/>
      <c r="AI11" s="433">
        <f ca="1">IF(Build!AB503,OFFSET(Spells!Q$2,Build!AB503,0),"")</f>
      </c>
      <c r="AJ11" s="433"/>
      <c r="AK11" s="433"/>
      <c r="AL11" s="433"/>
      <c r="AM11" s="433"/>
      <c r="AN11" s="433"/>
      <c r="AO11" s="433">
        <f ca="1">IF(AND(Build!AB503,LEN(OFFSET(Spells!R$2,Build!AB503,0))&lt;5),OFFSET(Spells!R$2,Build!AB503,0),"")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IF(Build!AB503,OFFSET(Spells!S$2,Build!AB503,0),"")</f>
      </c>
      <c r="BC11" s="433"/>
      <c r="BD11" s="433"/>
      <c r="BE11" s="433"/>
      <c r="BF11" s="433"/>
      <c r="BG11" s="621">
        <f ca="1">IF(Build!AB503,OFFSET(Spells!T$2,Build!AB503,0),"")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IF(Build!AB504,OFFSET(Spells!L$2,Build!AB504,0),"")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IF(Build!AB504,OFFSET(Spells!M$2,Build!AB504,0),"")</f>
      </c>
      <c r="T12" s="433"/>
      <c r="U12" s="433"/>
      <c r="V12" s="433">
        <f ca="1">IF(Build!AB504,OFFSET(Spells!N$2,Build!AB504,0),"")</f>
      </c>
      <c r="W12" s="433"/>
      <c r="X12" s="433"/>
      <c r="Y12" s="678">
        <f ca="1">IF(Build!AB504,OFFSET(Spells!O$2,Build!AB504,0),"")</f>
      </c>
      <c r="Z12" s="678"/>
      <c r="AA12" s="678"/>
      <c r="AB12" s="678"/>
      <c r="AC12" s="678"/>
      <c r="AD12" s="433">
        <f ca="1">IF(Build!AB504,OFFSET(Spells!P$2,Build!AB504,0),"")</f>
      </c>
      <c r="AE12" s="433"/>
      <c r="AF12" s="433"/>
      <c r="AG12" s="433"/>
      <c r="AH12" s="433"/>
      <c r="AI12" s="433">
        <f ca="1">IF(Build!AB504,OFFSET(Spells!Q$2,Build!AB504,0),"")</f>
      </c>
      <c r="AJ12" s="433"/>
      <c r="AK12" s="433"/>
      <c r="AL12" s="433"/>
      <c r="AM12" s="433"/>
      <c r="AN12" s="433"/>
      <c r="AO12" s="433">
        <f ca="1">IF(AND(Build!AB504,LEN(OFFSET(Spells!R$2,Build!AB504,0))&lt;5),OFFSET(Spells!R$2,Build!AB504,0),"")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IF(Build!AB504,OFFSET(Spells!S$2,Build!AB504,0),"")</f>
      </c>
      <c r="BC12" s="433"/>
      <c r="BD12" s="433"/>
      <c r="BE12" s="433"/>
      <c r="BF12" s="433"/>
      <c r="BG12" s="621">
        <f ca="1">IF(Build!AB504,OFFSET(Spells!T$2,Build!AB504,0),"")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IF(Build!AB505,OFFSET(Spells!L$2,Build!AB505,0),"")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IF(Build!AB505,OFFSET(Spells!M$2,Build!AB505,0),"")</f>
      </c>
      <c r="T13" s="433"/>
      <c r="U13" s="433"/>
      <c r="V13" s="433">
        <f ca="1">IF(Build!AB505,OFFSET(Spells!N$2,Build!AB505,0),"")</f>
      </c>
      <c r="W13" s="433"/>
      <c r="X13" s="433"/>
      <c r="Y13" s="678">
        <f ca="1">IF(Build!AB505,OFFSET(Spells!O$2,Build!AB505,0),"")</f>
      </c>
      <c r="Z13" s="678"/>
      <c r="AA13" s="678"/>
      <c r="AB13" s="678"/>
      <c r="AC13" s="678"/>
      <c r="AD13" s="433">
        <f ca="1">IF(Build!AB505,OFFSET(Spells!P$2,Build!AB505,0),"")</f>
      </c>
      <c r="AE13" s="433"/>
      <c r="AF13" s="433"/>
      <c r="AG13" s="433"/>
      <c r="AH13" s="433"/>
      <c r="AI13" s="433">
        <f ca="1">IF(Build!AB505,OFFSET(Spells!Q$2,Build!AB505,0),"")</f>
      </c>
      <c r="AJ13" s="433"/>
      <c r="AK13" s="433"/>
      <c r="AL13" s="433"/>
      <c r="AM13" s="433"/>
      <c r="AN13" s="433"/>
      <c r="AO13" s="433">
        <f ca="1">IF(AND(Build!AB505,LEN(OFFSET(Spells!R$2,Build!AB505,0))&lt;5),OFFSET(Spells!R$2,Build!AB505,0),"")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IF(Build!AB505,OFFSET(Spells!S$2,Build!AB505,0),"")</f>
      </c>
      <c r="BC13" s="433"/>
      <c r="BD13" s="433"/>
      <c r="BE13" s="433"/>
      <c r="BF13" s="433"/>
      <c r="BG13" s="621">
        <f ca="1">IF(Build!AB505,OFFSET(Spells!T$2,Build!AB505,0),"")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IF(Build!AB506,OFFSET(Spells!L$2,Build!AB506,0),"")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IF(Build!AB506,OFFSET(Spells!M$2,Build!AB506,0),"")</f>
      </c>
      <c r="T14" s="433"/>
      <c r="U14" s="433"/>
      <c r="V14" s="433">
        <f ca="1">IF(Build!AB506,OFFSET(Spells!N$2,Build!AB506,0),"")</f>
      </c>
      <c r="W14" s="433"/>
      <c r="X14" s="433"/>
      <c r="Y14" s="678">
        <f ca="1">IF(Build!AB506,OFFSET(Spells!O$2,Build!AB506,0),"")</f>
      </c>
      <c r="Z14" s="678"/>
      <c r="AA14" s="678"/>
      <c r="AB14" s="678"/>
      <c r="AC14" s="678"/>
      <c r="AD14" s="433">
        <f ca="1">IF(Build!AB506,OFFSET(Spells!P$2,Build!AB506,0),"")</f>
      </c>
      <c r="AE14" s="433"/>
      <c r="AF14" s="433"/>
      <c r="AG14" s="433"/>
      <c r="AH14" s="433"/>
      <c r="AI14" s="433">
        <f ca="1">IF(Build!AB506,OFFSET(Spells!Q$2,Build!AB506,0),"")</f>
      </c>
      <c r="AJ14" s="433"/>
      <c r="AK14" s="433"/>
      <c r="AL14" s="433"/>
      <c r="AM14" s="433"/>
      <c r="AN14" s="433"/>
      <c r="AO14" s="433">
        <f ca="1">IF(AND(Build!AB506,LEN(OFFSET(Spells!R$2,Build!AB506,0))&lt;5),OFFSET(Spells!R$2,Build!AB506,0),"")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IF(Build!AB506,OFFSET(Spells!S$2,Build!AB506,0),"")</f>
      </c>
      <c r="BC14" s="433"/>
      <c r="BD14" s="433"/>
      <c r="BE14" s="433"/>
      <c r="BF14" s="433"/>
      <c r="BG14" s="621">
        <f ca="1">IF(Build!AB506,OFFSET(Spells!T$2,Build!AB506,0),"")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IF(Build!AB507,OFFSET(Spells!L$2,Build!AB507,0),"")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IF(Build!AB507,OFFSET(Spells!M$2,Build!AB507,0),"")</f>
      </c>
      <c r="T15" s="433"/>
      <c r="U15" s="433"/>
      <c r="V15" s="433">
        <f ca="1">IF(Build!AB507,OFFSET(Spells!N$2,Build!AB507,0),"")</f>
      </c>
      <c r="W15" s="433"/>
      <c r="X15" s="433"/>
      <c r="Y15" s="678">
        <f ca="1">IF(Build!AB507,OFFSET(Spells!O$2,Build!AB507,0),"")</f>
      </c>
      <c r="Z15" s="678"/>
      <c r="AA15" s="678"/>
      <c r="AB15" s="678"/>
      <c r="AC15" s="678"/>
      <c r="AD15" s="433">
        <f ca="1">IF(Build!AB507,OFFSET(Spells!P$2,Build!AB507,0),"")</f>
      </c>
      <c r="AE15" s="433"/>
      <c r="AF15" s="433"/>
      <c r="AG15" s="433"/>
      <c r="AH15" s="433"/>
      <c r="AI15" s="433">
        <f ca="1">IF(Build!AB507,OFFSET(Spells!Q$2,Build!AB507,0),"")</f>
      </c>
      <c r="AJ15" s="433"/>
      <c r="AK15" s="433"/>
      <c r="AL15" s="433"/>
      <c r="AM15" s="433"/>
      <c r="AN15" s="433"/>
      <c r="AO15" s="433">
        <f ca="1">IF(AND(Build!AB507,LEN(OFFSET(Spells!R$2,Build!AB507,0))&lt;5),OFFSET(Spells!R$2,Build!AB507,0),"")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IF(Build!AB507,OFFSET(Spells!S$2,Build!AB507,0),"")</f>
      </c>
      <c r="BC15" s="433"/>
      <c r="BD15" s="433"/>
      <c r="BE15" s="433"/>
      <c r="BF15" s="433"/>
      <c r="BG15" s="621">
        <f ca="1">IF(Build!AB507,OFFSET(Spells!T$2,Build!AB507,0),"")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IF(Build!AB508,OFFSET(Spells!L$2,Build!AB508,0),"")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IF(Build!AB508,OFFSET(Spells!M$2,Build!AB508,0),"")</f>
      </c>
      <c r="T16" s="433"/>
      <c r="U16" s="433"/>
      <c r="V16" s="433">
        <f ca="1">IF(Build!AB508,OFFSET(Spells!N$2,Build!AB508,0),"")</f>
      </c>
      <c r="W16" s="433"/>
      <c r="X16" s="433"/>
      <c r="Y16" s="678">
        <f ca="1">IF(Build!AB508,OFFSET(Spells!O$2,Build!AB508,0),"")</f>
      </c>
      <c r="Z16" s="678"/>
      <c r="AA16" s="678"/>
      <c r="AB16" s="678"/>
      <c r="AC16" s="678"/>
      <c r="AD16" s="433">
        <f ca="1">IF(Build!AB508,OFFSET(Spells!P$2,Build!AB508,0),"")</f>
      </c>
      <c r="AE16" s="433"/>
      <c r="AF16" s="433"/>
      <c r="AG16" s="433"/>
      <c r="AH16" s="433"/>
      <c r="AI16" s="433">
        <f ca="1">IF(Build!AB508,OFFSET(Spells!Q$2,Build!AB508,0),"")</f>
      </c>
      <c r="AJ16" s="433"/>
      <c r="AK16" s="433"/>
      <c r="AL16" s="433"/>
      <c r="AM16" s="433"/>
      <c r="AN16" s="433"/>
      <c r="AO16" s="433">
        <f ca="1">IF(AND(Build!AB508,LEN(OFFSET(Spells!R$2,Build!AB508,0))&lt;5),OFFSET(Spells!R$2,Build!AB508,0),"")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IF(Build!AB508,OFFSET(Spells!S$2,Build!AB508,0),"")</f>
      </c>
      <c r="BC16" s="433"/>
      <c r="BD16" s="433"/>
      <c r="BE16" s="433"/>
      <c r="BF16" s="433"/>
      <c r="BG16" s="621">
        <f ca="1">IF(Build!AB508,OFFSET(Spells!T$2,Build!AB508,0),"")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IF(Build!AB509,OFFSET(Spells!L$2,Build!AB509,0),"")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IF(Build!AB509,OFFSET(Spells!M$2,Build!AB509,0),"")</f>
      </c>
      <c r="T17" s="433"/>
      <c r="U17" s="433"/>
      <c r="V17" s="433">
        <f ca="1">IF(Build!AB509,OFFSET(Spells!N$2,Build!AB509,0),"")</f>
      </c>
      <c r="W17" s="433"/>
      <c r="X17" s="433"/>
      <c r="Y17" s="678">
        <f ca="1">IF(Build!AB509,OFFSET(Spells!O$2,Build!AB509,0),"")</f>
      </c>
      <c r="Z17" s="678"/>
      <c r="AA17" s="678"/>
      <c r="AB17" s="678"/>
      <c r="AC17" s="678"/>
      <c r="AD17" s="433">
        <f ca="1">IF(Build!AB509,OFFSET(Spells!P$2,Build!AB509,0),"")</f>
      </c>
      <c r="AE17" s="433"/>
      <c r="AF17" s="433"/>
      <c r="AG17" s="433"/>
      <c r="AH17" s="433"/>
      <c r="AI17" s="433">
        <f ca="1">IF(Build!AB509,OFFSET(Spells!Q$2,Build!AB509,0),"")</f>
      </c>
      <c r="AJ17" s="433"/>
      <c r="AK17" s="433"/>
      <c r="AL17" s="433"/>
      <c r="AM17" s="433"/>
      <c r="AN17" s="433"/>
      <c r="AO17" s="433">
        <f ca="1">IF(AND(Build!AB509,LEN(OFFSET(Spells!R$2,Build!AB509,0))&lt;5),OFFSET(Spells!R$2,Build!AB509,0),"")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IF(Build!AB509,OFFSET(Spells!S$2,Build!AB509,0),"")</f>
      </c>
      <c r="BC17" s="433"/>
      <c r="BD17" s="433"/>
      <c r="BE17" s="433"/>
      <c r="BF17" s="433"/>
      <c r="BG17" s="621">
        <f ca="1">IF(Build!AB509,OFFSET(Spells!T$2,Build!AB509,0),"")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IF(Build!AB510,OFFSET(Spells!L$2,Build!AB510,0),"")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IF(Build!AB510,OFFSET(Spells!M$2,Build!AB510,0),"")</f>
      </c>
      <c r="T18" s="433"/>
      <c r="U18" s="433"/>
      <c r="V18" s="433">
        <f ca="1">IF(Build!AB510,OFFSET(Spells!N$2,Build!AB510,0),"")</f>
      </c>
      <c r="W18" s="433"/>
      <c r="X18" s="433"/>
      <c r="Y18" s="678">
        <f ca="1">IF(Build!AB510,OFFSET(Spells!O$2,Build!AB510,0),"")</f>
      </c>
      <c r="Z18" s="678"/>
      <c r="AA18" s="678"/>
      <c r="AB18" s="678"/>
      <c r="AC18" s="678"/>
      <c r="AD18" s="433">
        <f ca="1">IF(Build!AB510,OFFSET(Spells!P$2,Build!AB510,0),"")</f>
      </c>
      <c r="AE18" s="433"/>
      <c r="AF18" s="433"/>
      <c r="AG18" s="433"/>
      <c r="AH18" s="433"/>
      <c r="AI18" s="433">
        <f ca="1">IF(Build!AB510,OFFSET(Spells!Q$2,Build!AB510,0),"")</f>
      </c>
      <c r="AJ18" s="433"/>
      <c r="AK18" s="433"/>
      <c r="AL18" s="433"/>
      <c r="AM18" s="433"/>
      <c r="AN18" s="433"/>
      <c r="AO18" s="433">
        <f ca="1">IF(AND(Build!AB510,LEN(OFFSET(Spells!R$2,Build!AB510,0))&lt;5),OFFSET(Spells!R$2,Build!AB510,0),"")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IF(Build!AB510,OFFSET(Spells!S$2,Build!AB510,0),"")</f>
      </c>
      <c r="BC18" s="433"/>
      <c r="BD18" s="433"/>
      <c r="BE18" s="433"/>
      <c r="BF18" s="433"/>
      <c r="BG18" s="621">
        <f ca="1">IF(Build!AB510,OFFSET(Spells!T$2,Build!AB510,0),"")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IF(Build!AB511,OFFSET(Spells!L$2,Build!AB511,0),"")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IF(Build!AB511,OFFSET(Spells!M$2,Build!AB511,0),"")</f>
      </c>
      <c r="T19" s="433"/>
      <c r="U19" s="433"/>
      <c r="V19" s="433">
        <f ca="1">IF(Build!AB511,OFFSET(Spells!N$2,Build!AB511,0),"")</f>
      </c>
      <c r="W19" s="433"/>
      <c r="X19" s="433"/>
      <c r="Y19" s="678">
        <f ca="1">IF(Build!AB511,OFFSET(Spells!O$2,Build!AB511,0),"")</f>
      </c>
      <c r="Z19" s="678"/>
      <c r="AA19" s="678"/>
      <c r="AB19" s="678"/>
      <c r="AC19" s="678"/>
      <c r="AD19" s="433">
        <f ca="1">IF(Build!AB511,OFFSET(Spells!P$2,Build!AB511,0),"")</f>
      </c>
      <c r="AE19" s="433"/>
      <c r="AF19" s="433"/>
      <c r="AG19" s="433"/>
      <c r="AH19" s="433"/>
      <c r="AI19" s="433">
        <f ca="1">IF(Build!AB511,OFFSET(Spells!Q$2,Build!AB511,0),"")</f>
      </c>
      <c r="AJ19" s="433"/>
      <c r="AK19" s="433"/>
      <c r="AL19" s="433"/>
      <c r="AM19" s="433"/>
      <c r="AN19" s="433"/>
      <c r="AO19" s="433">
        <f ca="1">IF(AND(Build!AB511,LEN(OFFSET(Spells!R$2,Build!AB511,0))&lt;5),OFFSET(Spells!R$2,Build!AB511,0),"")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IF(Build!AB511,OFFSET(Spells!S$2,Build!AB511,0),"")</f>
      </c>
      <c r="BC19" s="433"/>
      <c r="BD19" s="433"/>
      <c r="BE19" s="433"/>
      <c r="BF19" s="433"/>
      <c r="BG19" s="621">
        <f ca="1">IF(Build!AB511,OFFSET(Spells!T$2,Build!AB511,0),"")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IF(Build!AB512,OFFSET(Spells!L$2,Build!AB512,0),"")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IF(Build!AB512,OFFSET(Spells!M$2,Build!AB512,0),"")</f>
      </c>
      <c r="T20" s="433"/>
      <c r="U20" s="433"/>
      <c r="V20" s="433">
        <f ca="1">IF(Build!AB512,OFFSET(Spells!N$2,Build!AB512,0),"")</f>
      </c>
      <c r="W20" s="433"/>
      <c r="X20" s="433"/>
      <c r="Y20" s="678">
        <f ca="1">IF(Build!AB512,OFFSET(Spells!O$2,Build!AB512,0),"")</f>
      </c>
      <c r="Z20" s="678"/>
      <c r="AA20" s="678"/>
      <c r="AB20" s="678"/>
      <c r="AC20" s="678"/>
      <c r="AD20" s="433">
        <f ca="1">IF(Build!AB512,OFFSET(Spells!P$2,Build!AB512,0),"")</f>
      </c>
      <c r="AE20" s="433"/>
      <c r="AF20" s="433"/>
      <c r="AG20" s="433"/>
      <c r="AH20" s="433"/>
      <c r="AI20" s="433">
        <f ca="1">IF(Build!AB512,OFFSET(Spells!Q$2,Build!AB512,0),"")</f>
      </c>
      <c r="AJ20" s="433"/>
      <c r="AK20" s="433"/>
      <c r="AL20" s="433"/>
      <c r="AM20" s="433"/>
      <c r="AN20" s="433"/>
      <c r="AO20" s="433">
        <f ca="1">IF(AND(Build!AB512,LEN(OFFSET(Spells!R$2,Build!AB512,0))&lt;5),OFFSET(Spells!R$2,Build!AB512,0),"")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IF(Build!AB512,OFFSET(Spells!S$2,Build!AB512,0),"")</f>
      </c>
      <c r="BC20" s="433"/>
      <c r="BD20" s="433"/>
      <c r="BE20" s="433"/>
      <c r="BF20" s="433"/>
      <c r="BG20" s="621">
        <f ca="1">IF(Build!AB512,OFFSET(Spells!T$2,Build!AB512,0),"")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IF(Build!AB513,OFFSET(Spells!L$2,Build!AB513,0),"")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IF(Build!AB513,OFFSET(Spells!M$2,Build!AB513,0),"")</f>
      </c>
      <c r="T21" s="433"/>
      <c r="U21" s="433"/>
      <c r="V21" s="433">
        <f ca="1">IF(Build!AB513,OFFSET(Spells!N$2,Build!AB513,0),"")</f>
      </c>
      <c r="W21" s="433"/>
      <c r="X21" s="433"/>
      <c r="Y21" s="678">
        <f ca="1">IF(Build!AB513,OFFSET(Spells!O$2,Build!AB513,0),"")</f>
      </c>
      <c r="Z21" s="678"/>
      <c r="AA21" s="678"/>
      <c r="AB21" s="678"/>
      <c r="AC21" s="678"/>
      <c r="AD21" s="433">
        <f ca="1">IF(Build!AB513,OFFSET(Spells!P$2,Build!AB513,0),"")</f>
      </c>
      <c r="AE21" s="433"/>
      <c r="AF21" s="433"/>
      <c r="AG21" s="433"/>
      <c r="AH21" s="433"/>
      <c r="AI21" s="433">
        <f ca="1">IF(Build!AB513,OFFSET(Spells!Q$2,Build!AB513,0),"")</f>
      </c>
      <c r="AJ21" s="433"/>
      <c r="AK21" s="433"/>
      <c r="AL21" s="433"/>
      <c r="AM21" s="433"/>
      <c r="AN21" s="433"/>
      <c r="AO21" s="433">
        <f ca="1">IF(AND(Build!AB513,LEN(OFFSET(Spells!R$2,Build!AB513,0))&lt;5),OFFSET(Spells!R$2,Build!AB513,0),"")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IF(Build!AB513,OFFSET(Spells!S$2,Build!AB513,0),"")</f>
      </c>
      <c r="BC21" s="433"/>
      <c r="BD21" s="433"/>
      <c r="BE21" s="433"/>
      <c r="BF21" s="433"/>
      <c r="BG21" s="621">
        <f ca="1">IF(Build!AB513,OFFSET(Spells!T$2,Build!AB513,0),"")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IF(Build!AB514,OFFSET(Spells!L$2,Build!AB514,0),"")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IF(Build!AB514,OFFSET(Spells!M$2,Build!AB514,0),"")</f>
      </c>
      <c r="T22" s="433"/>
      <c r="U22" s="433"/>
      <c r="V22" s="433">
        <f ca="1">IF(Build!AB514,OFFSET(Spells!N$2,Build!AB514,0),"")</f>
      </c>
      <c r="W22" s="433"/>
      <c r="X22" s="433"/>
      <c r="Y22" s="678">
        <f ca="1">IF(Build!AB514,OFFSET(Spells!O$2,Build!AB514,0),"")</f>
      </c>
      <c r="Z22" s="678"/>
      <c r="AA22" s="678"/>
      <c r="AB22" s="678"/>
      <c r="AC22" s="678"/>
      <c r="AD22" s="433">
        <f ca="1">IF(Build!AB514,OFFSET(Spells!P$2,Build!AB514,0),"")</f>
      </c>
      <c r="AE22" s="433"/>
      <c r="AF22" s="433"/>
      <c r="AG22" s="433"/>
      <c r="AH22" s="433"/>
      <c r="AI22" s="433">
        <f ca="1">IF(Build!AB514,OFFSET(Spells!Q$2,Build!AB514,0),"")</f>
      </c>
      <c r="AJ22" s="433"/>
      <c r="AK22" s="433"/>
      <c r="AL22" s="433"/>
      <c r="AM22" s="433"/>
      <c r="AN22" s="433"/>
      <c r="AO22" s="433">
        <f ca="1">IF(AND(Build!AB514,LEN(OFFSET(Spells!R$2,Build!AB514,0))&lt;5),OFFSET(Spells!R$2,Build!AB514,0),"")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IF(Build!AB514,OFFSET(Spells!S$2,Build!AB514,0),"")</f>
      </c>
      <c r="BC22" s="433"/>
      <c r="BD22" s="433"/>
      <c r="BE22" s="433"/>
      <c r="BF22" s="433"/>
      <c r="BG22" s="621">
        <f ca="1">IF(Build!AB514,OFFSET(Spells!T$2,Build!AB514,0),"")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IF(Build!AB515,OFFSET(Spells!L$2,Build!AB515,0),"")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IF(Build!AB515,OFFSET(Spells!M$2,Build!AB515,0),"")</f>
      </c>
      <c r="T23" s="433"/>
      <c r="U23" s="433"/>
      <c r="V23" s="433">
        <f ca="1">IF(Build!AB515,OFFSET(Spells!N$2,Build!AB515,0),"")</f>
      </c>
      <c r="W23" s="433"/>
      <c r="X23" s="433"/>
      <c r="Y23" s="678">
        <f ca="1">IF(Build!AB515,OFFSET(Spells!O$2,Build!AB515,0),"")</f>
      </c>
      <c r="Z23" s="678"/>
      <c r="AA23" s="678"/>
      <c r="AB23" s="678"/>
      <c r="AC23" s="678"/>
      <c r="AD23" s="433">
        <f ca="1">IF(Build!AB515,OFFSET(Spells!P$2,Build!AB515,0),"")</f>
      </c>
      <c r="AE23" s="433"/>
      <c r="AF23" s="433"/>
      <c r="AG23" s="433"/>
      <c r="AH23" s="433"/>
      <c r="AI23" s="433">
        <f ca="1">IF(Build!AB515,OFFSET(Spells!Q$2,Build!AB515,0),"")</f>
      </c>
      <c r="AJ23" s="433"/>
      <c r="AK23" s="433"/>
      <c r="AL23" s="433"/>
      <c r="AM23" s="433"/>
      <c r="AN23" s="433"/>
      <c r="AO23" s="433">
        <f ca="1">IF(AND(Build!AB515,LEN(OFFSET(Spells!R$2,Build!AB515,0))&lt;5),OFFSET(Spells!R$2,Build!AB515,0),"")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IF(Build!AB515,OFFSET(Spells!S$2,Build!AB515,0),"")</f>
      </c>
      <c r="BC23" s="433"/>
      <c r="BD23" s="433"/>
      <c r="BE23" s="433"/>
      <c r="BF23" s="433"/>
      <c r="BG23" s="621">
        <f ca="1">IF(Build!AB515,OFFSET(Spells!T$2,Build!AB515,0),"")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IF(Build!AB516,OFFSET(Spells!L$2,Build!AB516,0),"")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IF(Build!AB516,OFFSET(Spells!M$2,Build!AB516,0),"")</f>
      </c>
      <c r="T24" s="433"/>
      <c r="U24" s="433"/>
      <c r="V24" s="433">
        <f ca="1">IF(Build!AB516,OFFSET(Spells!N$2,Build!AB516,0),"")</f>
      </c>
      <c r="W24" s="433"/>
      <c r="X24" s="433"/>
      <c r="Y24" s="678">
        <f ca="1">IF(Build!AB516,OFFSET(Spells!O$2,Build!AB516,0),"")</f>
      </c>
      <c r="Z24" s="678"/>
      <c r="AA24" s="678"/>
      <c r="AB24" s="678"/>
      <c r="AC24" s="678"/>
      <c r="AD24" s="433">
        <f ca="1">IF(Build!AB516,OFFSET(Spells!P$2,Build!AB516,0),"")</f>
      </c>
      <c r="AE24" s="433"/>
      <c r="AF24" s="433"/>
      <c r="AG24" s="433"/>
      <c r="AH24" s="433"/>
      <c r="AI24" s="433">
        <f ca="1">IF(Build!AB516,OFFSET(Spells!Q$2,Build!AB516,0),"")</f>
      </c>
      <c r="AJ24" s="433"/>
      <c r="AK24" s="433"/>
      <c r="AL24" s="433"/>
      <c r="AM24" s="433"/>
      <c r="AN24" s="433"/>
      <c r="AO24" s="433">
        <f ca="1">IF(AND(Build!AB516,LEN(OFFSET(Spells!R$2,Build!AB516,0))&lt;5),OFFSET(Spells!R$2,Build!AB516,0),"")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IF(Build!AB516,OFFSET(Spells!S$2,Build!AB516,0),"")</f>
      </c>
      <c r="BC24" s="433"/>
      <c r="BD24" s="433"/>
      <c r="BE24" s="433"/>
      <c r="BF24" s="433"/>
      <c r="BG24" s="621">
        <f ca="1">IF(Build!AB516,OFFSET(Spells!T$2,Build!AB516,0),"")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IF(Build!AB517,OFFSET(Spells!L$2,Build!AB517,0),"")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IF(Build!AB517,OFFSET(Spells!M$2,Build!AB517,0),"")</f>
      </c>
      <c r="T25" s="433"/>
      <c r="U25" s="433"/>
      <c r="V25" s="433">
        <f ca="1">IF(Build!AB517,OFFSET(Spells!N$2,Build!AB517,0),"")</f>
      </c>
      <c r="W25" s="433"/>
      <c r="X25" s="433"/>
      <c r="Y25" s="678">
        <f ca="1">IF(Build!AB517,OFFSET(Spells!O$2,Build!AB517,0),"")</f>
      </c>
      <c r="Z25" s="678"/>
      <c r="AA25" s="678"/>
      <c r="AB25" s="678"/>
      <c r="AC25" s="678"/>
      <c r="AD25" s="433">
        <f ca="1">IF(Build!AB517,OFFSET(Spells!P$2,Build!AB517,0),"")</f>
      </c>
      <c r="AE25" s="433"/>
      <c r="AF25" s="433"/>
      <c r="AG25" s="433"/>
      <c r="AH25" s="433"/>
      <c r="AI25" s="433">
        <f ca="1">IF(Build!AB517,OFFSET(Spells!Q$2,Build!AB517,0),"")</f>
      </c>
      <c r="AJ25" s="433"/>
      <c r="AK25" s="433"/>
      <c r="AL25" s="433"/>
      <c r="AM25" s="433"/>
      <c r="AN25" s="433"/>
      <c r="AO25" s="433">
        <f ca="1">IF(AND(Build!AB517,LEN(OFFSET(Spells!R$2,Build!AB517,0))&lt;5),OFFSET(Spells!R$2,Build!AB517,0),"")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IF(Build!AB517,OFFSET(Spells!S$2,Build!AB517,0),"")</f>
      </c>
      <c r="BC25" s="433"/>
      <c r="BD25" s="433"/>
      <c r="BE25" s="433"/>
      <c r="BF25" s="433"/>
      <c r="BG25" s="621">
        <f ca="1">IF(Build!AB517,OFFSET(Spells!T$2,Build!AB517,0),"")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IF(Build!AB518,OFFSET(Spells!L$2,Build!AB518,0),"")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IF(Build!AB518,OFFSET(Spells!M$2,Build!AB518,0),"")</f>
      </c>
      <c r="T26" s="433"/>
      <c r="U26" s="433"/>
      <c r="V26" s="433">
        <f ca="1">IF(Build!AB518,OFFSET(Spells!N$2,Build!AB518,0),"")</f>
      </c>
      <c r="W26" s="433"/>
      <c r="X26" s="433"/>
      <c r="Y26" s="678">
        <f ca="1">IF(Build!AB518,OFFSET(Spells!O$2,Build!AB518,0),"")</f>
      </c>
      <c r="Z26" s="678"/>
      <c r="AA26" s="678"/>
      <c r="AB26" s="678"/>
      <c r="AC26" s="678"/>
      <c r="AD26" s="433">
        <f ca="1">IF(Build!AB518,OFFSET(Spells!P$2,Build!AB518,0),"")</f>
      </c>
      <c r="AE26" s="433"/>
      <c r="AF26" s="433"/>
      <c r="AG26" s="433"/>
      <c r="AH26" s="433"/>
      <c r="AI26" s="433">
        <f ca="1">IF(Build!AB518,OFFSET(Spells!Q$2,Build!AB518,0),"")</f>
      </c>
      <c r="AJ26" s="433"/>
      <c r="AK26" s="433"/>
      <c r="AL26" s="433"/>
      <c r="AM26" s="433"/>
      <c r="AN26" s="433"/>
      <c r="AO26" s="433">
        <f ca="1">IF(AND(Build!AB518,LEN(OFFSET(Spells!R$2,Build!AB518,0))&lt;5),OFFSET(Spells!R$2,Build!AB518,0),"")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IF(Build!AB518,OFFSET(Spells!S$2,Build!AB518,0),"")</f>
      </c>
      <c r="BC26" s="433"/>
      <c r="BD26" s="433"/>
      <c r="BE26" s="433"/>
      <c r="BF26" s="433"/>
      <c r="BG26" s="621">
        <f ca="1">IF(Build!AB518,OFFSET(Spells!T$2,Build!AB518,0),"")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IF(Build!AB519,OFFSET(Spells!L$2,Build!AB519,0),"")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IF(Build!AB519,OFFSET(Spells!M$2,Build!AB519,0),"")</f>
      </c>
      <c r="T27" s="433"/>
      <c r="U27" s="433"/>
      <c r="V27" s="433">
        <f ca="1">IF(Build!AB519,OFFSET(Spells!N$2,Build!AB519,0),"")</f>
      </c>
      <c r="W27" s="433"/>
      <c r="X27" s="433"/>
      <c r="Y27" s="678">
        <f ca="1">IF(Build!AB519,OFFSET(Spells!O$2,Build!AB519,0),"")</f>
      </c>
      <c r="Z27" s="678"/>
      <c r="AA27" s="678"/>
      <c r="AB27" s="678"/>
      <c r="AC27" s="678"/>
      <c r="AD27" s="433">
        <f ca="1">IF(Build!AB519,OFFSET(Spells!P$2,Build!AB519,0),"")</f>
      </c>
      <c r="AE27" s="433"/>
      <c r="AF27" s="433"/>
      <c r="AG27" s="433"/>
      <c r="AH27" s="433"/>
      <c r="AI27" s="433">
        <f ca="1">IF(Build!AB519,OFFSET(Spells!Q$2,Build!AB519,0),"")</f>
      </c>
      <c r="AJ27" s="433"/>
      <c r="AK27" s="433"/>
      <c r="AL27" s="433"/>
      <c r="AM27" s="433"/>
      <c r="AN27" s="433"/>
      <c r="AO27" s="433">
        <f ca="1">IF(AND(Build!AB519,LEN(OFFSET(Spells!R$2,Build!AB519,0))&lt;5),OFFSET(Spells!R$2,Build!AB519,0),"")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IF(Build!AB519,OFFSET(Spells!S$2,Build!AB519,0),"")</f>
      </c>
      <c r="BC27" s="433"/>
      <c r="BD27" s="433"/>
      <c r="BE27" s="433"/>
      <c r="BF27" s="433"/>
      <c r="BG27" s="621">
        <f ca="1">IF(Build!AB519,OFFSET(Spells!T$2,Build!AB519,0),"")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IF(Build!AB520,OFFSET(Spells!L$2,Build!AB520,0),"")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IF(Build!AB520,OFFSET(Spells!M$2,Build!AB520,0),"")</f>
      </c>
      <c r="T28" s="433"/>
      <c r="U28" s="433"/>
      <c r="V28" s="433">
        <f ca="1">IF(Build!AB520,OFFSET(Spells!N$2,Build!AB520,0),"")</f>
      </c>
      <c r="W28" s="433"/>
      <c r="X28" s="433"/>
      <c r="Y28" s="678">
        <f ca="1">IF(Build!AB520,OFFSET(Spells!O$2,Build!AB520,0),"")</f>
      </c>
      <c r="Z28" s="678"/>
      <c r="AA28" s="678"/>
      <c r="AB28" s="678"/>
      <c r="AC28" s="678"/>
      <c r="AD28" s="433">
        <f ca="1">IF(Build!AB520,OFFSET(Spells!P$2,Build!AB520,0),"")</f>
      </c>
      <c r="AE28" s="433"/>
      <c r="AF28" s="433"/>
      <c r="AG28" s="433"/>
      <c r="AH28" s="433"/>
      <c r="AI28" s="433">
        <f ca="1">IF(Build!AB520,OFFSET(Spells!Q$2,Build!AB520,0),"")</f>
      </c>
      <c r="AJ28" s="433"/>
      <c r="AK28" s="433"/>
      <c r="AL28" s="433"/>
      <c r="AM28" s="433"/>
      <c r="AN28" s="433"/>
      <c r="AO28" s="433">
        <f ca="1">IF(AND(Build!AB520,LEN(OFFSET(Spells!R$2,Build!AB520,0))&lt;5),OFFSET(Spells!R$2,Build!AB520,0),"")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IF(Build!AB520,OFFSET(Spells!S$2,Build!AB520,0),"")</f>
      </c>
      <c r="BC28" s="433"/>
      <c r="BD28" s="433"/>
      <c r="BE28" s="433"/>
      <c r="BF28" s="433"/>
      <c r="BG28" s="621">
        <f ca="1">IF(Build!AB520,OFFSET(Spells!T$2,Build!AB520,0),"")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IF(Build!AB521,OFFSET(Spells!L$2,Build!AB521,0),"")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IF(Build!AB521,OFFSET(Spells!M$2,Build!AB521,0),"")</f>
      </c>
      <c r="T29" s="433"/>
      <c r="U29" s="433"/>
      <c r="V29" s="433">
        <f ca="1">IF(Build!AB521,OFFSET(Spells!N$2,Build!AB521,0),"")</f>
      </c>
      <c r="W29" s="433"/>
      <c r="X29" s="433"/>
      <c r="Y29" s="678">
        <f ca="1">IF(Build!AB521,OFFSET(Spells!O$2,Build!AB521,0),"")</f>
      </c>
      <c r="Z29" s="678"/>
      <c r="AA29" s="678"/>
      <c r="AB29" s="678"/>
      <c r="AC29" s="678"/>
      <c r="AD29" s="433">
        <f ca="1">IF(Build!AB521,OFFSET(Spells!P$2,Build!AB521,0),"")</f>
      </c>
      <c r="AE29" s="433"/>
      <c r="AF29" s="433"/>
      <c r="AG29" s="433"/>
      <c r="AH29" s="433"/>
      <c r="AI29" s="433">
        <f ca="1">IF(Build!AB521,OFFSET(Spells!Q$2,Build!AB521,0),"")</f>
      </c>
      <c r="AJ29" s="433"/>
      <c r="AK29" s="433"/>
      <c r="AL29" s="433"/>
      <c r="AM29" s="433"/>
      <c r="AN29" s="433"/>
      <c r="AO29" s="433">
        <f ca="1">IF(AND(Build!AB521,LEN(OFFSET(Spells!R$2,Build!AB521,0))&lt;5),OFFSET(Spells!R$2,Build!AB521,0),"")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IF(Build!AB521,OFFSET(Spells!S$2,Build!AB521,0),"")</f>
      </c>
      <c r="BC29" s="433"/>
      <c r="BD29" s="433"/>
      <c r="BE29" s="433"/>
      <c r="BF29" s="433"/>
      <c r="BG29" s="621">
        <f ca="1">IF(Build!AB521,OFFSET(Spells!T$2,Build!AB521,0),"")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IF(Build!AB522,OFFSET(Spells!L$2,Build!AB522,0),"")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IF(Build!AB522,OFFSET(Spells!M$2,Build!AB522,0),"")</f>
      </c>
      <c r="T30" s="433"/>
      <c r="U30" s="433"/>
      <c r="V30" s="433">
        <f ca="1">IF(Build!AB522,OFFSET(Spells!N$2,Build!AB522,0),"")</f>
      </c>
      <c r="W30" s="433"/>
      <c r="X30" s="433"/>
      <c r="Y30" s="678">
        <f ca="1">IF(Build!AB522,OFFSET(Spells!O$2,Build!AB522,0),"")</f>
      </c>
      <c r="Z30" s="678"/>
      <c r="AA30" s="678"/>
      <c r="AB30" s="678"/>
      <c r="AC30" s="678"/>
      <c r="AD30" s="433">
        <f ca="1">IF(Build!AB522,OFFSET(Spells!P$2,Build!AB522,0),"")</f>
      </c>
      <c r="AE30" s="433"/>
      <c r="AF30" s="433"/>
      <c r="AG30" s="433"/>
      <c r="AH30" s="433"/>
      <c r="AI30" s="433">
        <f ca="1">IF(Build!AB522,OFFSET(Spells!Q$2,Build!AB522,0),"")</f>
      </c>
      <c r="AJ30" s="433"/>
      <c r="AK30" s="433"/>
      <c r="AL30" s="433"/>
      <c r="AM30" s="433"/>
      <c r="AN30" s="433"/>
      <c r="AO30" s="433">
        <f ca="1">IF(AND(Build!AB522,LEN(OFFSET(Spells!R$2,Build!AB522,0))&lt;5),OFFSET(Spells!R$2,Build!AB522,0),"")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IF(Build!AB522,OFFSET(Spells!S$2,Build!AB522,0),"")</f>
      </c>
      <c r="BC30" s="433"/>
      <c r="BD30" s="433"/>
      <c r="BE30" s="433"/>
      <c r="BF30" s="433"/>
      <c r="BG30" s="621">
        <f ca="1">IF(Build!AB522,OFFSET(Spells!T$2,Build!AB522,0),"")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IF(Build!AB523,OFFSET(Spells!L$2,Build!AB523,0),"")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IF(Build!AB523,OFFSET(Spells!M$2,Build!AB523,0),"")</f>
      </c>
      <c r="T31" s="433"/>
      <c r="U31" s="433"/>
      <c r="V31" s="433">
        <f ca="1">IF(Build!AB523,OFFSET(Spells!N$2,Build!AB523,0),"")</f>
      </c>
      <c r="W31" s="433"/>
      <c r="X31" s="433"/>
      <c r="Y31" s="678">
        <f ca="1">IF(Build!AB523,OFFSET(Spells!O$2,Build!AB523,0),"")</f>
      </c>
      <c r="Z31" s="678"/>
      <c r="AA31" s="678"/>
      <c r="AB31" s="678"/>
      <c r="AC31" s="678"/>
      <c r="AD31" s="433">
        <f ca="1">IF(Build!AB523,OFFSET(Spells!P$2,Build!AB523,0),"")</f>
      </c>
      <c r="AE31" s="433"/>
      <c r="AF31" s="433"/>
      <c r="AG31" s="433"/>
      <c r="AH31" s="433"/>
      <c r="AI31" s="433">
        <f ca="1">IF(Build!AB523,OFFSET(Spells!Q$2,Build!AB523,0),"")</f>
      </c>
      <c r="AJ31" s="433"/>
      <c r="AK31" s="433"/>
      <c r="AL31" s="433"/>
      <c r="AM31" s="433"/>
      <c r="AN31" s="433"/>
      <c r="AO31" s="433">
        <f ca="1">IF(AND(Build!AB523,LEN(OFFSET(Spells!R$2,Build!AB523,0))&lt;5),OFFSET(Spells!R$2,Build!AB523,0),"")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IF(Build!AB523,OFFSET(Spells!S$2,Build!AB523,0),"")</f>
      </c>
      <c r="BC31" s="433"/>
      <c r="BD31" s="433"/>
      <c r="BE31" s="433"/>
      <c r="BF31" s="433"/>
      <c r="BG31" s="621">
        <f ca="1">IF(Build!AB523,OFFSET(Spells!T$2,Build!AB523,0),"")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IF(Build!AB524,OFFSET(Spells!L$2,Build!AB524,0),"")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IF(Build!AB524,OFFSET(Spells!M$2,Build!AB524,0),"")</f>
      </c>
      <c r="T32" s="433"/>
      <c r="U32" s="433"/>
      <c r="V32" s="433">
        <f ca="1">IF(Build!AB524,OFFSET(Spells!N$2,Build!AB524,0),"")</f>
      </c>
      <c r="W32" s="433"/>
      <c r="X32" s="433"/>
      <c r="Y32" s="678">
        <f ca="1">IF(Build!AB524,OFFSET(Spells!O$2,Build!AB524,0),"")</f>
      </c>
      <c r="Z32" s="678"/>
      <c r="AA32" s="678"/>
      <c r="AB32" s="678"/>
      <c r="AC32" s="678"/>
      <c r="AD32" s="433">
        <f ca="1">IF(Build!AB524,OFFSET(Spells!P$2,Build!AB524,0),"")</f>
      </c>
      <c r="AE32" s="433"/>
      <c r="AF32" s="433"/>
      <c r="AG32" s="433"/>
      <c r="AH32" s="433"/>
      <c r="AI32" s="433">
        <f ca="1">IF(Build!AB524,OFFSET(Spells!Q$2,Build!AB524,0),"")</f>
      </c>
      <c r="AJ32" s="433"/>
      <c r="AK32" s="433"/>
      <c r="AL32" s="433"/>
      <c r="AM32" s="433"/>
      <c r="AN32" s="433"/>
      <c r="AO32" s="433">
        <f ca="1">IF(AND(Build!AB524,LEN(OFFSET(Spells!R$2,Build!AB524,0))&lt;5),OFFSET(Spells!R$2,Build!AB524,0),"")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IF(Build!AB524,OFFSET(Spells!S$2,Build!AB524,0),"")</f>
      </c>
      <c r="BC32" s="433"/>
      <c r="BD32" s="433"/>
      <c r="BE32" s="433"/>
      <c r="BF32" s="433"/>
      <c r="BG32" s="621">
        <f ca="1">IF(Build!AB524,OFFSET(Spells!T$2,Build!AB524,0),"")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IF(Build!AB525,OFFSET(Spells!L$2,Build!AB525,0),"")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IF(Build!AB525,OFFSET(Spells!M$2,Build!AB525,0),"")</f>
      </c>
      <c r="T33" s="433"/>
      <c r="U33" s="433"/>
      <c r="V33" s="433">
        <f ca="1">IF(Build!AB525,OFFSET(Spells!N$2,Build!AB525,0),"")</f>
      </c>
      <c r="W33" s="433"/>
      <c r="X33" s="433"/>
      <c r="Y33" s="678">
        <f ca="1">IF(Build!AB525,OFFSET(Spells!O$2,Build!AB525,0),"")</f>
      </c>
      <c r="Z33" s="678"/>
      <c r="AA33" s="678"/>
      <c r="AB33" s="678"/>
      <c r="AC33" s="678"/>
      <c r="AD33" s="433">
        <f ca="1">IF(Build!AB525,OFFSET(Spells!P$2,Build!AB525,0),"")</f>
      </c>
      <c r="AE33" s="433"/>
      <c r="AF33" s="433"/>
      <c r="AG33" s="433"/>
      <c r="AH33" s="433"/>
      <c r="AI33" s="433">
        <f ca="1">IF(Build!AB525,OFFSET(Spells!Q$2,Build!AB525,0),"")</f>
      </c>
      <c r="AJ33" s="433"/>
      <c r="AK33" s="433"/>
      <c r="AL33" s="433"/>
      <c r="AM33" s="433"/>
      <c r="AN33" s="433"/>
      <c r="AO33" s="433">
        <f ca="1">IF(AND(Build!AB525,LEN(OFFSET(Spells!R$2,Build!AB525,0))&lt;5),OFFSET(Spells!R$2,Build!AB525,0),"")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IF(Build!AB525,OFFSET(Spells!S$2,Build!AB525,0),"")</f>
      </c>
      <c r="BC33" s="433"/>
      <c r="BD33" s="433"/>
      <c r="BE33" s="433"/>
      <c r="BF33" s="433"/>
      <c r="BG33" s="621">
        <f ca="1">IF(Build!AB525,OFFSET(Spells!T$2,Build!AB525,0),"")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IF(Build!AB526,OFFSET(Spells!L$2,Build!AB526,0),"")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IF(Build!AB526,OFFSET(Spells!M$2,Build!AB526,0),"")</f>
      </c>
      <c r="T34" s="433"/>
      <c r="U34" s="433"/>
      <c r="V34" s="433">
        <f ca="1">IF(Build!AB526,OFFSET(Spells!N$2,Build!AB526,0),"")</f>
      </c>
      <c r="W34" s="433"/>
      <c r="X34" s="433"/>
      <c r="Y34" s="678">
        <f ca="1">IF(Build!AB526,OFFSET(Spells!O$2,Build!AB526,0),"")</f>
      </c>
      <c r="Z34" s="678"/>
      <c r="AA34" s="678"/>
      <c r="AB34" s="678"/>
      <c r="AC34" s="678"/>
      <c r="AD34" s="433">
        <f ca="1">IF(Build!AB526,OFFSET(Spells!P$2,Build!AB526,0),"")</f>
      </c>
      <c r="AE34" s="433"/>
      <c r="AF34" s="433"/>
      <c r="AG34" s="433"/>
      <c r="AH34" s="433"/>
      <c r="AI34" s="433">
        <f ca="1">IF(Build!AB526,OFFSET(Spells!Q$2,Build!AB526,0),"")</f>
      </c>
      <c r="AJ34" s="433"/>
      <c r="AK34" s="433"/>
      <c r="AL34" s="433"/>
      <c r="AM34" s="433"/>
      <c r="AN34" s="433"/>
      <c r="AO34" s="433">
        <f ca="1">IF(AND(Build!AB526,LEN(OFFSET(Spells!R$2,Build!AB526,0))&lt;5),OFFSET(Spells!R$2,Build!AB526,0),"")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IF(Build!AB526,OFFSET(Spells!S$2,Build!AB526,0),"")</f>
      </c>
      <c r="BC34" s="433"/>
      <c r="BD34" s="433"/>
      <c r="BE34" s="433"/>
      <c r="BF34" s="433"/>
      <c r="BG34" s="621">
        <f ca="1">IF(Build!AB526,OFFSET(Spells!T$2,Build!AB526,0),"")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IF(Build!AB527,OFFSET(Spells!L$2,Build!AB527,0),"")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IF(Build!AB527,OFFSET(Spells!M$2,Build!AB527,0),"")</f>
      </c>
      <c r="T35" s="433"/>
      <c r="U35" s="433"/>
      <c r="V35" s="433">
        <f ca="1">IF(Build!AB527,OFFSET(Spells!N$2,Build!AB527,0),"")</f>
      </c>
      <c r="W35" s="433"/>
      <c r="X35" s="433"/>
      <c r="Y35" s="678">
        <f ca="1">IF(Build!AB527,OFFSET(Spells!O$2,Build!AB527,0),"")</f>
      </c>
      <c r="Z35" s="678"/>
      <c r="AA35" s="678"/>
      <c r="AB35" s="678"/>
      <c r="AC35" s="678"/>
      <c r="AD35" s="433">
        <f ca="1">IF(Build!AB527,OFFSET(Spells!P$2,Build!AB527,0),"")</f>
      </c>
      <c r="AE35" s="433"/>
      <c r="AF35" s="433"/>
      <c r="AG35" s="433"/>
      <c r="AH35" s="433"/>
      <c r="AI35" s="433">
        <f ca="1">IF(Build!AB527,OFFSET(Spells!Q$2,Build!AB527,0),"")</f>
      </c>
      <c r="AJ35" s="433"/>
      <c r="AK35" s="433"/>
      <c r="AL35" s="433"/>
      <c r="AM35" s="433"/>
      <c r="AN35" s="433"/>
      <c r="AO35" s="433">
        <f ca="1">IF(AND(Build!AB527,LEN(OFFSET(Spells!R$2,Build!AB527,0))&lt;5),OFFSET(Spells!R$2,Build!AB527,0),"")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IF(Build!AB527,OFFSET(Spells!S$2,Build!AB527,0),"")</f>
      </c>
      <c r="BC35" s="433"/>
      <c r="BD35" s="433"/>
      <c r="BE35" s="433"/>
      <c r="BF35" s="433"/>
      <c r="BG35" s="621">
        <f ca="1">IF(Build!AB527,OFFSET(Spells!T$2,Build!AB527,0),"")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IF(Build!AB528,OFFSET(Spells!L$2,Build!AB528,0),"")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IF(Build!AB528,OFFSET(Spells!M$2,Build!AB528,0),"")</f>
      </c>
      <c r="T36" s="433"/>
      <c r="U36" s="433"/>
      <c r="V36" s="433">
        <f ca="1">IF(Build!AB528,OFFSET(Spells!N$2,Build!AB528,0),"")</f>
      </c>
      <c r="W36" s="433"/>
      <c r="X36" s="433"/>
      <c r="Y36" s="678">
        <f ca="1">IF(Build!AB528,OFFSET(Spells!O$2,Build!AB528,0),"")</f>
      </c>
      <c r="Z36" s="678"/>
      <c r="AA36" s="678"/>
      <c r="AB36" s="678"/>
      <c r="AC36" s="678"/>
      <c r="AD36" s="433">
        <f ca="1">IF(Build!AB528,OFFSET(Spells!P$2,Build!AB528,0),"")</f>
      </c>
      <c r="AE36" s="433"/>
      <c r="AF36" s="433"/>
      <c r="AG36" s="433"/>
      <c r="AH36" s="433"/>
      <c r="AI36" s="433">
        <f ca="1">IF(Build!AB528,OFFSET(Spells!Q$2,Build!AB528,0),"")</f>
      </c>
      <c r="AJ36" s="433"/>
      <c r="AK36" s="433"/>
      <c r="AL36" s="433"/>
      <c r="AM36" s="433"/>
      <c r="AN36" s="433"/>
      <c r="AO36" s="433">
        <f ca="1">IF(AND(Build!AB528,LEN(OFFSET(Spells!R$2,Build!AB528,0))&lt;5),OFFSET(Spells!R$2,Build!AB528,0),"")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IF(Build!AB528,OFFSET(Spells!S$2,Build!AB528,0),"")</f>
      </c>
      <c r="BC36" s="433"/>
      <c r="BD36" s="433"/>
      <c r="BE36" s="433"/>
      <c r="BF36" s="433"/>
      <c r="BG36" s="621">
        <f ca="1">IF(Build!AB528,OFFSET(Spells!T$2,Build!AB528,0),"")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IF(Build!AB529,OFFSET(Spells!L$2,Build!AB529,0),"")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IF(Build!AB529,OFFSET(Spells!M$2,Build!AB529,0),"")</f>
      </c>
      <c r="T37" s="433"/>
      <c r="U37" s="433"/>
      <c r="V37" s="433">
        <f ca="1">IF(Build!AB529,OFFSET(Spells!N$2,Build!AB529,0),"")</f>
      </c>
      <c r="W37" s="433"/>
      <c r="X37" s="433"/>
      <c r="Y37" s="678">
        <f ca="1">IF(Build!AB529,OFFSET(Spells!O$2,Build!AB529,0),"")</f>
      </c>
      <c r="Z37" s="678"/>
      <c r="AA37" s="678"/>
      <c r="AB37" s="678"/>
      <c r="AC37" s="678"/>
      <c r="AD37" s="433">
        <f ca="1">IF(Build!AB529,OFFSET(Spells!P$2,Build!AB529,0),"")</f>
      </c>
      <c r="AE37" s="433"/>
      <c r="AF37" s="433"/>
      <c r="AG37" s="433"/>
      <c r="AH37" s="433"/>
      <c r="AI37" s="433">
        <f ca="1">IF(Build!AB529,OFFSET(Spells!Q$2,Build!AB529,0),"")</f>
      </c>
      <c r="AJ37" s="433"/>
      <c r="AK37" s="433"/>
      <c r="AL37" s="433"/>
      <c r="AM37" s="433"/>
      <c r="AN37" s="433"/>
      <c r="AO37" s="433">
        <f ca="1">IF(AND(Build!AB529,LEN(OFFSET(Spells!R$2,Build!AB529,0))&lt;5),OFFSET(Spells!R$2,Build!AB529,0),"")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IF(Build!AB529,OFFSET(Spells!S$2,Build!AB529,0),"")</f>
      </c>
      <c r="BC37" s="433"/>
      <c r="BD37" s="433"/>
      <c r="BE37" s="433"/>
      <c r="BF37" s="433"/>
      <c r="BG37" s="621">
        <f ca="1">IF(Build!AB529,OFFSET(Spells!T$2,Build!AB529,0),"")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IF(Build!AB530,OFFSET(Spells!L$2,Build!AB530,0),"")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IF(Build!AB530,OFFSET(Spells!M$2,Build!AB530,0),"")</f>
      </c>
      <c r="T38" s="433"/>
      <c r="U38" s="433"/>
      <c r="V38" s="433">
        <f ca="1">IF(Build!AB530,OFFSET(Spells!N$2,Build!AB530,0),"")</f>
      </c>
      <c r="W38" s="433"/>
      <c r="X38" s="433"/>
      <c r="Y38" s="678">
        <f ca="1">IF(Build!AB530,OFFSET(Spells!O$2,Build!AB530,0),"")</f>
      </c>
      <c r="Z38" s="678"/>
      <c r="AA38" s="678"/>
      <c r="AB38" s="678"/>
      <c r="AC38" s="678"/>
      <c r="AD38" s="433">
        <f ca="1">IF(Build!AB530,OFFSET(Spells!P$2,Build!AB530,0),"")</f>
      </c>
      <c r="AE38" s="433"/>
      <c r="AF38" s="433"/>
      <c r="AG38" s="433"/>
      <c r="AH38" s="433"/>
      <c r="AI38" s="433">
        <f ca="1">IF(Build!AB530,OFFSET(Spells!Q$2,Build!AB530,0),"")</f>
      </c>
      <c r="AJ38" s="433"/>
      <c r="AK38" s="433"/>
      <c r="AL38" s="433"/>
      <c r="AM38" s="433"/>
      <c r="AN38" s="433"/>
      <c r="AO38" s="433">
        <f ca="1">IF(AND(Build!AB530,LEN(OFFSET(Spells!R$2,Build!AB530,0))&lt;5),OFFSET(Spells!R$2,Build!AB530,0),"")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IF(Build!AB530,OFFSET(Spells!S$2,Build!AB530,0),"")</f>
      </c>
      <c r="BC38" s="433"/>
      <c r="BD38" s="433"/>
      <c r="BE38" s="433"/>
      <c r="BF38" s="433"/>
      <c r="BG38" s="621">
        <f ca="1">IF(Build!AB530,OFFSET(Spells!T$2,Build!AB530,0),"")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IF(Build!AB531,OFFSET(Spells!L$2,Build!AB531,0),"")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IF(Build!AB531,OFFSET(Spells!M$2,Build!AB531,0),"")</f>
      </c>
      <c r="T39" s="433"/>
      <c r="U39" s="433"/>
      <c r="V39" s="433">
        <f ca="1">IF(Build!AB531,OFFSET(Spells!N$2,Build!AB531,0),"")</f>
      </c>
      <c r="W39" s="433"/>
      <c r="X39" s="433"/>
      <c r="Y39" s="678">
        <f ca="1">IF(Build!AB531,OFFSET(Spells!O$2,Build!AB531,0),"")</f>
      </c>
      <c r="Z39" s="678"/>
      <c r="AA39" s="678"/>
      <c r="AB39" s="678"/>
      <c r="AC39" s="678"/>
      <c r="AD39" s="433">
        <f ca="1">IF(Build!AB531,OFFSET(Spells!P$2,Build!AB531,0),"")</f>
      </c>
      <c r="AE39" s="433"/>
      <c r="AF39" s="433"/>
      <c r="AG39" s="433"/>
      <c r="AH39" s="433"/>
      <c r="AI39" s="433">
        <f ca="1">IF(Build!AB531,OFFSET(Spells!Q$2,Build!AB531,0),"")</f>
      </c>
      <c r="AJ39" s="433"/>
      <c r="AK39" s="433"/>
      <c r="AL39" s="433"/>
      <c r="AM39" s="433"/>
      <c r="AN39" s="433"/>
      <c r="AO39" s="433">
        <f ca="1">IF(AND(Build!AB531,LEN(OFFSET(Spells!R$2,Build!AB531,0))&lt;5),OFFSET(Spells!R$2,Build!AB531,0),"")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IF(Build!AB531,OFFSET(Spells!S$2,Build!AB531,0),"")</f>
      </c>
      <c r="BC39" s="433"/>
      <c r="BD39" s="433"/>
      <c r="BE39" s="433"/>
      <c r="BF39" s="433"/>
      <c r="BG39" s="621">
        <f ca="1">IF(Build!AB531,OFFSET(Spells!T$2,Build!AB531,0),"")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IF(Build!AB532,OFFSET(Spells!L$2,Build!AB532,0),"")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IF(Build!AB532,OFFSET(Spells!M$2,Build!AB532,0),"")</f>
      </c>
      <c r="T40" s="433"/>
      <c r="U40" s="433"/>
      <c r="V40" s="433">
        <f ca="1">IF(Build!AB532,OFFSET(Spells!N$2,Build!AB532,0),"")</f>
      </c>
      <c r="W40" s="433"/>
      <c r="X40" s="433"/>
      <c r="Y40" s="678">
        <f ca="1">IF(Build!AB532,OFFSET(Spells!O$2,Build!AB532,0),"")</f>
      </c>
      <c r="Z40" s="678"/>
      <c r="AA40" s="678"/>
      <c r="AB40" s="678"/>
      <c r="AC40" s="678"/>
      <c r="AD40" s="433">
        <f ca="1">IF(Build!AB532,OFFSET(Spells!P$2,Build!AB532,0),"")</f>
      </c>
      <c r="AE40" s="433"/>
      <c r="AF40" s="433"/>
      <c r="AG40" s="433"/>
      <c r="AH40" s="433"/>
      <c r="AI40" s="433">
        <f ca="1">IF(Build!AB532,OFFSET(Spells!Q$2,Build!AB532,0),"")</f>
      </c>
      <c r="AJ40" s="433"/>
      <c r="AK40" s="433"/>
      <c r="AL40" s="433"/>
      <c r="AM40" s="433"/>
      <c r="AN40" s="433"/>
      <c r="AO40" s="433">
        <f ca="1">IF(AND(Build!AB532,LEN(OFFSET(Spells!R$2,Build!AB532,0))&lt;5),OFFSET(Spells!R$2,Build!AB532,0),"")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IF(Build!AB532,OFFSET(Spells!S$2,Build!AB532,0),"")</f>
      </c>
      <c r="BC40" s="433"/>
      <c r="BD40" s="433"/>
      <c r="BE40" s="433"/>
      <c r="BF40" s="433"/>
      <c r="BG40" s="621">
        <f ca="1">IF(Build!AB532,OFFSET(Spells!T$2,Build!AB532,0),"")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IF(Build!AB533,OFFSET(Spells!L$2,Build!AB533,0),"")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IF(Build!AB533,OFFSET(Spells!M$2,Build!AB533,0),"")</f>
      </c>
      <c r="T41" s="433"/>
      <c r="U41" s="433"/>
      <c r="V41" s="433">
        <f ca="1">IF(Build!AB533,OFFSET(Spells!N$2,Build!AB533,0),"")</f>
      </c>
      <c r="W41" s="433"/>
      <c r="X41" s="433"/>
      <c r="Y41" s="678">
        <f ca="1">IF(Build!AB533,OFFSET(Spells!O$2,Build!AB533,0),"")</f>
      </c>
      <c r="Z41" s="678"/>
      <c r="AA41" s="678"/>
      <c r="AB41" s="678"/>
      <c r="AC41" s="678"/>
      <c r="AD41" s="433">
        <f ca="1">IF(Build!AB533,OFFSET(Spells!P$2,Build!AB533,0),"")</f>
      </c>
      <c r="AE41" s="433"/>
      <c r="AF41" s="433"/>
      <c r="AG41" s="433"/>
      <c r="AH41" s="433"/>
      <c r="AI41" s="433">
        <f ca="1">IF(Build!AB533,OFFSET(Spells!Q$2,Build!AB533,0),"")</f>
      </c>
      <c r="AJ41" s="433"/>
      <c r="AK41" s="433"/>
      <c r="AL41" s="433"/>
      <c r="AM41" s="433"/>
      <c r="AN41" s="433"/>
      <c r="AO41" s="433">
        <f ca="1">IF(AND(Build!AB533,LEN(OFFSET(Spells!R$2,Build!AB533,0))&lt;5),OFFSET(Spells!R$2,Build!AB533,0),"")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IF(Build!AB533,OFFSET(Spells!S$2,Build!AB533,0),"")</f>
      </c>
      <c r="BC41" s="433"/>
      <c r="BD41" s="433"/>
      <c r="BE41" s="433"/>
      <c r="BF41" s="433"/>
      <c r="BG41" s="621">
        <f ca="1">IF(Build!AB533,OFFSET(Spells!T$2,Build!AB533,0),"")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 thickBot="1">
      <c r="A42" s="579"/>
      <c r="B42" s="578"/>
      <c r="C42" s="578"/>
      <c r="D42" s="610">
        <f ca="1">IF(Build!AB534,OFFSET(Spells!L$2,Build!AB534,0),"")</f>
      </c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578">
        <f ca="1">IF(Build!AB534,OFFSET(Spells!M$2,Build!AB534,0),"")</f>
      </c>
      <c r="T42" s="578"/>
      <c r="U42" s="578"/>
      <c r="V42" s="578">
        <f ca="1">IF(Build!AB534,OFFSET(Spells!N$2,Build!AB534,0),"")</f>
      </c>
      <c r="W42" s="578"/>
      <c r="X42" s="578"/>
      <c r="Y42" s="677">
        <f ca="1">IF(Build!AB534,OFFSET(Spells!O$2,Build!AB534,0),"")</f>
      </c>
      <c r="Z42" s="677"/>
      <c r="AA42" s="677"/>
      <c r="AB42" s="677"/>
      <c r="AC42" s="677"/>
      <c r="AD42" s="578">
        <f ca="1">IF(Build!AB534,OFFSET(Spells!P$2,Build!AB534,0),"")</f>
      </c>
      <c r="AE42" s="578"/>
      <c r="AF42" s="578"/>
      <c r="AG42" s="578"/>
      <c r="AH42" s="578"/>
      <c r="AI42" s="578">
        <f ca="1">IF(Build!AB534,OFFSET(Spells!Q$2,Build!AB534,0),"")</f>
      </c>
      <c r="AJ42" s="578"/>
      <c r="AK42" s="578"/>
      <c r="AL42" s="578"/>
      <c r="AM42" s="578"/>
      <c r="AN42" s="578"/>
      <c r="AO42" s="578">
        <f ca="1">IF(AND(Build!AB534,LEN(OFFSET(Spells!R$2,Build!AB534,0))&lt;5),OFFSET(Spells!R$2,Build!AB534,0),"")</f>
      </c>
      <c r="AP42" s="578"/>
      <c r="AQ42" s="578"/>
      <c r="AR42" s="149">
        <f t="shared" si="0"/>
      </c>
      <c r="AS42" s="578">
        <f>IF(AO42&lt;&gt;"",VLOOKUP(LEFT(AO42,FIND("+",AO42&amp;"+")-1),Build!X$480:Y$486,2,0)+IF(LEN(AO42)&gt;2,MID(AO42,FIND("+",AO42&amp;"+")+1,2),0),"")</f>
      </c>
      <c r="AT42" s="578"/>
      <c r="AU42" s="578">
        <f ca="1" t="shared" si="1"/>
      </c>
      <c r="AV42" s="578"/>
      <c r="AW42" s="578"/>
      <c r="AX42" s="578"/>
      <c r="AY42" s="578"/>
      <c r="AZ42" s="578"/>
      <c r="BA42" s="578"/>
      <c r="BB42" s="578">
        <f ca="1">IF(Build!AB534,OFFSET(Spells!S$2,Build!AB534,0),"")</f>
      </c>
      <c r="BC42" s="578"/>
      <c r="BD42" s="578"/>
      <c r="BE42" s="578"/>
      <c r="BF42" s="578"/>
      <c r="BG42" s="623">
        <f ca="1">IF(Build!AB534,OFFSET(Spells!T$2,Build!AB534,0),"")</f>
      </c>
      <c r="BH42" s="623"/>
      <c r="BI42" s="623"/>
      <c r="BJ42" s="623"/>
      <c r="BK42" s="623"/>
      <c r="BL42" s="623"/>
      <c r="BM42" s="623"/>
      <c r="BN42" s="623"/>
      <c r="BO42" s="623"/>
      <c r="BP42" s="623"/>
      <c r="BQ42" s="623"/>
      <c r="BR42" s="623"/>
      <c r="BS42" s="623"/>
      <c r="BT42" s="623"/>
      <c r="BU42" s="623"/>
      <c r="BV42" s="623"/>
      <c r="BW42" s="623"/>
      <c r="BX42" s="623"/>
      <c r="BY42" s="623"/>
      <c r="BZ42" s="623"/>
      <c r="CA42" s="623"/>
      <c r="CB42" s="623"/>
      <c r="CC42" s="623"/>
      <c r="CD42" s="623"/>
      <c r="CE42" s="623"/>
      <c r="CF42" s="682"/>
    </row>
  </sheetData>
  <mergeCells count="457">
    <mergeCell ref="AS7:AT7"/>
    <mergeCell ref="AU7:BA7"/>
    <mergeCell ref="AU6:BA6"/>
    <mergeCell ref="BB6:BF6"/>
    <mergeCell ref="BG6:CF6"/>
    <mergeCell ref="BB7:BF7"/>
    <mergeCell ref="BG7:CF7"/>
    <mergeCell ref="AS42:AT42"/>
    <mergeCell ref="AU42:BA42"/>
    <mergeCell ref="BB42:BF42"/>
    <mergeCell ref="BG42:CF42"/>
    <mergeCell ref="AS41:AT41"/>
    <mergeCell ref="AU41:BA41"/>
    <mergeCell ref="BB41:BF41"/>
    <mergeCell ref="Y42:AC42"/>
    <mergeCell ref="AD42:AH42"/>
    <mergeCell ref="AI42:AN42"/>
    <mergeCell ref="AO42:AQ42"/>
    <mergeCell ref="A42:C42"/>
    <mergeCell ref="D42:R42"/>
    <mergeCell ref="S42:U42"/>
    <mergeCell ref="V42:X42"/>
    <mergeCell ref="BG41:CF41"/>
    <mergeCell ref="Y41:AC41"/>
    <mergeCell ref="AD41:AH41"/>
    <mergeCell ref="AI41:AN41"/>
    <mergeCell ref="AO41:AQ41"/>
    <mergeCell ref="A41:C41"/>
    <mergeCell ref="D41:R41"/>
    <mergeCell ref="S41:U41"/>
    <mergeCell ref="V41:X41"/>
    <mergeCell ref="AS40:AT40"/>
    <mergeCell ref="AU40:BA40"/>
    <mergeCell ref="BB40:BF40"/>
    <mergeCell ref="BG40:CF40"/>
    <mergeCell ref="Y40:AC40"/>
    <mergeCell ref="AD40:AH40"/>
    <mergeCell ref="AI40:AN40"/>
    <mergeCell ref="AO40:AQ40"/>
    <mergeCell ref="A40:C40"/>
    <mergeCell ref="D40:R40"/>
    <mergeCell ref="S40:U40"/>
    <mergeCell ref="V40:X40"/>
    <mergeCell ref="AS39:AT39"/>
    <mergeCell ref="AU39:BA39"/>
    <mergeCell ref="BB39:BF39"/>
    <mergeCell ref="BG39:CF39"/>
    <mergeCell ref="Y39:AC39"/>
    <mergeCell ref="AD39:AH39"/>
    <mergeCell ref="AI39:AN39"/>
    <mergeCell ref="AO39:AQ39"/>
    <mergeCell ref="A39:C39"/>
    <mergeCell ref="D39:R39"/>
    <mergeCell ref="S39:U39"/>
    <mergeCell ref="V39:X39"/>
    <mergeCell ref="AS38:AT38"/>
    <mergeCell ref="AU38:BA38"/>
    <mergeCell ref="BB38:BF38"/>
    <mergeCell ref="BG38:CF38"/>
    <mergeCell ref="Y38:AC38"/>
    <mergeCell ref="AD38:AH38"/>
    <mergeCell ref="AI38:AN38"/>
    <mergeCell ref="AO38:AQ38"/>
    <mergeCell ref="A38:C38"/>
    <mergeCell ref="D38:R38"/>
    <mergeCell ref="S38:U38"/>
    <mergeCell ref="V38:X38"/>
    <mergeCell ref="AS37:AT37"/>
    <mergeCell ref="AU37:BA37"/>
    <mergeCell ref="BB37:BF37"/>
    <mergeCell ref="BG37:CF37"/>
    <mergeCell ref="Y37:AC37"/>
    <mergeCell ref="AD37:AH37"/>
    <mergeCell ref="AI37:AN37"/>
    <mergeCell ref="AO37:AQ37"/>
    <mergeCell ref="A37:C37"/>
    <mergeCell ref="D37:R37"/>
    <mergeCell ref="S37:U37"/>
    <mergeCell ref="V37:X37"/>
    <mergeCell ref="AS36:AT36"/>
    <mergeCell ref="AU36:BA36"/>
    <mergeCell ref="BB36:BF36"/>
    <mergeCell ref="BG36:CF36"/>
    <mergeCell ref="Y36:AC36"/>
    <mergeCell ref="AD36:AH36"/>
    <mergeCell ref="AI36:AN36"/>
    <mergeCell ref="AO36:AQ36"/>
    <mergeCell ref="A36:C36"/>
    <mergeCell ref="D36:R36"/>
    <mergeCell ref="S36:U36"/>
    <mergeCell ref="V36:X36"/>
    <mergeCell ref="AS35:AT35"/>
    <mergeCell ref="AU35:BA35"/>
    <mergeCell ref="BB35:BF35"/>
    <mergeCell ref="BG35:CF35"/>
    <mergeCell ref="Y35:AC35"/>
    <mergeCell ref="AD35:AH35"/>
    <mergeCell ref="AI35:AN35"/>
    <mergeCell ref="AO35:AQ35"/>
    <mergeCell ref="A35:C35"/>
    <mergeCell ref="D35:R35"/>
    <mergeCell ref="S35:U35"/>
    <mergeCell ref="V35:X35"/>
    <mergeCell ref="AS34:AT34"/>
    <mergeCell ref="AU34:BA34"/>
    <mergeCell ref="BB34:BF34"/>
    <mergeCell ref="BG34:CF34"/>
    <mergeCell ref="Y34:AC34"/>
    <mergeCell ref="AD34:AH34"/>
    <mergeCell ref="AI34:AN34"/>
    <mergeCell ref="AO34:AQ34"/>
    <mergeCell ref="A34:C34"/>
    <mergeCell ref="D34:R34"/>
    <mergeCell ref="S34:U34"/>
    <mergeCell ref="V34:X34"/>
    <mergeCell ref="AS33:AT33"/>
    <mergeCell ref="AU33:BA33"/>
    <mergeCell ref="BB33:BF33"/>
    <mergeCell ref="BG33:CF33"/>
    <mergeCell ref="Y33:AC33"/>
    <mergeCell ref="AD33:AH33"/>
    <mergeCell ref="AI33:AN33"/>
    <mergeCell ref="AO33:AQ33"/>
    <mergeCell ref="A33:C33"/>
    <mergeCell ref="D33:R33"/>
    <mergeCell ref="S33:U33"/>
    <mergeCell ref="V33:X33"/>
    <mergeCell ref="AS32:AT32"/>
    <mergeCell ref="AU32:BA32"/>
    <mergeCell ref="BB32:BF32"/>
    <mergeCell ref="BG32:CF32"/>
    <mergeCell ref="Y32:AC32"/>
    <mergeCell ref="AD32:AH32"/>
    <mergeCell ref="AI32:AN32"/>
    <mergeCell ref="AO32:AQ32"/>
    <mergeCell ref="A32:C32"/>
    <mergeCell ref="D32:R32"/>
    <mergeCell ref="S32:U32"/>
    <mergeCell ref="V32:X32"/>
    <mergeCell ref="AS31:AT31"/>
    <mergeCell ref="AU31:BA31"/>
    <mergeCell ref="BB31:BF31"/>
    <mergeCell ref="BG31:CF31"/>
    <mergeCell ref="Y31:AC31"/>
    <mergeCell ref="AD31:AH31"/>
    <mergeCell ref="AI31:AN31"/>
    <mergeCell ref="AO31:AQ31"/>
    <mergeCell ref="A31:C31"/>
    <mergeCell ref="D31:R31"/>
    <mergeCell ref="S31:U31"/>
    <mergeCell ref="V31:X31"/>
    <mergeCell ref="AS30:AT30"/>
    <mergeCell ref="AU30:BA30"/>
    <mergeCell ref="BB30:BF30"/>
    <mergeCell ref="BG30:CF30"/>
    <mergeCell ref="Y30:AC30"/>
    <mergeCell ref="AD30:AH30"/>
    <mergeCell ref="AI30:AN30"/>
    <mergeCell ref="AO30:AQ30"/>
    <mergeCell ref="A30:C30"/>
    <mergeCell ref="D30:R30"/>
    <mergeCell ref="S30:U30"/>
    <mergeCell ref="V30:X30"/>
    <mergeCell ref="AS29:AT29"/>
    <mergeCell ref="AU29:BA29"/>
    <mergeCell ref="BB29:BF29"/>
    <mergeCell ref="BG29:CF29"/>
    <mergeCell ref="Y29:AC29"/>
    <mergeCell ref="AD29:AH29"/>
    <mergeCell ref="AI29:AN29"/>
    <mergeCell ref="AO29:AQ29"/>
    <mergeCell ref="A29:C29"/>
    <mergeCell ref="D29:R29"/>
    <mergeCell ref="S29:U29"/>
    <mergeCell ref="V29:X29"/>
    <mergeCell ref="AS28:AT28"/>
    <mergeCell ref="AU28:BA28"/>
    <mergeCell ref="BB28:BF28"/>
    <mergeCell ref="BG28:CF28"/>
    <mergeCell ref="Y28:AC28"/>
    <mergeCell ref="AD28:AH28"/>
    <mergeCell ref="AI28:AN28"/>
    <mergeCell ref="AO28:AQ28"/>
    <mergeCell ref="A28:C28"/>
    <mergeCell ref="D28:R28"/>
    <mergeCell ref="S28:U28"/>
    <mergeCell ref="V28:X28"/>
    <mergeCell ref="AS27:AT27"/>
    <mergeCell ref="AU27:BA27"/>
    <mergeCell ref="BB27:BF27"/>
    <mergeCell ref="BG27:CF27"/>
    <mergeCell ref="Y27:AC27"/>
    <mergeCell ref="AD27:AH27"/>
    <mergeCell ref="AI27:AN27"/>
    <mergeCell ref="AO27:AQ27"/>
    <mergeCell ref="A27:C27"/>
    <mergeCell ref="D27:R27"/>
    <mergeCell ref="S27:U27"/>
    <mergeCell ref="V27:X27"/>
    <mergeCell ref="AS26:AT26"/>
    <mergeCell ref="AU26:BA26"/>
    <mergeCell ref="BB26:BF26"/>
    <mergeCell ref="BG26:CF26"/>
    <mergeCell ref="Y26:AC26"/>
    <mergeCell ref="AD26:AH26"/>
    <mergeCell ref="AI26:AN26"/>
    <mergeCell ref="AO26:AQ26"/>
    <mergeCell ref="A26:C26"/>
    <mergeCell ref="D26:R26"/>
    <mergeCell ref="S26:U26"/>
    <mergeCell ref="V26:X26"/>
    <mergeCell ref="AS25:AT25"/>
    <mergeCell ref="AU25:BA25"/>
    <mergeCell ref="BB25:BF25"/>
    <mergeCell ref="BG25:CF25"/>
    <mergeCell ref="Y25:AC25"/>
    <mergeCell ref="AD25:AH25"/>
    <mergeCell ref="AI25:AN25"/>
    <mergeCell ref="AO25:AQ25"/>
    <mergeCell ref="A25:C25"/>
    <mergeCell ref="D25:R25"/>
    <mergeCell ref="S25:U25"/>
    <mergeCell ref="V25:X25"/>
    <mergeCell ref="AS24:AT24"/>
    <mergeCell ref="AU24:BA24"/>
    <mergeCell ref="BB24:BF24"/>
    <mergeCell ref="BG24:CF24"/>
    <mergeCell ref="Y24:AC24"/>
    <mergeCell ref="AD24:AH24"/>
    <mergeCell ref="AI24:AN24"/>
    <mergeCell ref="AO24:AQ24"/>
    <mergeCell ref="A24:C24"/>
    <mergeCell ref="D24:R24"/>
    <mergeCell ref="S24:U24"/>
    <mergeCell ref="V24:X24"/>
    <mergeCell ref="AS23:AT23"/>
    <mergeCell ref="AU23:BA23"/>
    <mergeCell ref="BB23:BF23"/>
    <mergeCell ref="BG23:CF23"/>
    <mergeCell ref="Y23:AC23"/>
    <mergeCell ref="AD23:AH23"/>
    <mergeCell ref="AI23:AN23"/>
    <mergeCell ref="AO23:AQ23"/>
    <mergeCell ref="A23:C23"/>
    <mergeCell ref="D23:R23"/>
    <mergeCell ref="S23:U23"/>
    <mergeCell ref="V23:X23"/>
    <mergeCell ref="AS22:AT22"/>
    <mergeCell ref="AU22:BA22"/>
    <mergeCell ref="BB22:BF22"/>
    <mergeCell ref="BG22:CF22"/>
    <mergeCell ref="Y22:AC22"/>
    <mergeCell ref="AD22:AH22"/>
    <mergeCell ref="AI22:AN22"/>
    <mergeCell ref="AO22:AQ22"/>
    <mergeCell ref="A22:C22"/>
    <mergeCell ref="D22:R22"/>
    <mergeCell ref="S22:U22"/>
    <mergeCell ref="V22:X22"/>
    <mergeCell ref="AS21:AT21"/>
    <mergeCell ref="AU21:BA21"/>
    <mergeCell ref="BB21:BF21"/>
    <mergeCell ref="BG21:CF21"/>
    <mergeCell ref="Y21:AC21"/>
    <mergeCell ref="AD21:AH21"/>
    <mergeCell ref="AI21:AN21"/>
    <mergeCell ref="AO21:AQ21"/>
    <mergeCell ref="A21:C21"/>
    <mergeCell ref="D21:R21"/>
    <mergeCell ref="S21:U21"/>
    <mergeCell ref="V21:X21"/>
    <mergeCell ref="AS20:AT20"/>
    <mergeCell ref="AU20:BA20"/>
    <mergeCell ref="BB20:BF20"/>
    <mergeCell ref="BG20:CF20"/>
    <mergeCell ref="Y20:AC20"/>
    <mergeCell ref="AD20:AH20"/>
    <mergeCell ref="AI20:AN20"/>
    <mergeCell ref="AO20:AQ20"/>
    <mergeCell ref="A20:C20"/>
    <mergeCell ref="D20:R20"/>
    <mergeCell ref="S20:U20"/>
    <mergeCell ref="V20:X20"/>
    <mergeCell ref="AS19:AT19"/>
    <mergeCell ref="AU19:BA19"/>
    <mergeCell ref="BB19:BF19"/>
    <mergeCell ref="BG19:CF19"/>
    <mergeCell ref="Y19:AC19"/>
    <mergeCell ref="AD19:AH19"/>
    <mergeCell ref="AI19:AN19"/>
    <mergeCell ref="AO19:AQ19"/>
    <mergeCell ref="A19:C19"/>
    <mergeCell ref="D19:R19"/>
    <mergeCell ref="S19:U19"/>
    <mergeCell ref="V19:X19"/>
    <mergeCell ref="AS18:AT18"/>
    <mergeCell ref="AU18:BA18"/>
    <mergeCell ref="BB18:BF18"/>
    <mergeCell ref="BG18:CF18"/>
    <mergeCell ref="Y18:AC18"/>
    <mergeCell ref="AD18:AH18"/>
    <mergeCell ref="AI18:AN18"/>
    <mergeCell ref="AO18:AQ18"/>
    <mergeCell ref="A18:C18"/>
    <mergeCell ref="D18:R18"/>
    <mergeCell ref="S18:U18"/>
    <mergeCell ref="V18:X18"/>
    <mergeCell ref="AS17:AT17"/>
    <mergeCell ref="AU17:BA17"/>
    <mergeCell ref="BB17:BF17"/>
    <mergeCell ref="BG17:CF17"/>
    <mergeCell ref="Y17:AC17"/>
    <mergeCell ref="AD17:AH17"/>
    <mergeCell ref="AI17:AN17"/>
    <mergeCell ref="AO17:AQ17"/>
    <mergeCell ref="A17:C17"/>
    <mergeCell ref="D17:R17"/>
    <mergeCell ref="S17:U17"/>
    <mergeCell ref="V17:X17"/>
    <mergeCell ref="AS16:AT16"/>
    <mergeCell ref="AU16:BA16"/>
    <mergeCell ref="BB16:BF16"/>
    <mergeCell ref="BG16:CF16"/>
    <mergeCell ref="Y16:AC16"/>
    <mergeCell ref="AD16:AH16"/>
    <mergeCell ref="AI16:AN16"/>
    <mergeCell ref="AO16:AQ16"/>
    <mergeCell ref="A16:C16"/>
    <mergeCell ref="D16:R16"/>
    <mergeCell ref="S16:U16"/>
    <mergeCell ref="V16:X16"/>
    <mergeCell ref="AS15:AT15"/>
    <mergeCell ref="AU15:BA15"/>
    <mergeCell ref="BB15:BF15"/>
    <mergeCell ref="BG15:CF15"/>
    <mergeCell ref="Y15:AC15"/>
    <mergeCell ref="AD15:AH15"/>
    <mergeCell ref="AI15:AN15"/>
    <mergeCell ref="AO15:AQ15"/>
    <mergeCell ref="A15:C15"/>
    <mergeCell ref="D15:R15"/>
    <mergeCell ref="S15:U15"/>
    <mergeCell ref="V15:X15"/>
    <mergeCell ref="AS14:AT14"/>
    <mergeCell ref="AU14:BA14"/>
    <mergeCell ref="BB14:BF14"/>
    <mergeCell ref="BG14:CF14"/>
    <mergeCell ref="Y14:AC14"/>
    <mergeCell ref="AD14:AH14"/>
    <mergeCell ref="AI14:AN14"/>
    <mergeCell ref="AO14:AQ14"/>
    <mergeCell ref="A14:C14"/>
    <mergeCell ref="D14:R14"/>
    <mergeCell ref="S14:U14"/>
    <mergeCell ref="V14:X14"/>
    <mergeCell ref="AS13:AT13"/>
    <mergeCell ref="AU13:BA13"/>
    <mergeCell ref="BB13:BF13"/>
    <mergeCell ref="BG13:CF13"/>
    <mergeCell ref="Y13:AC13"/>
    <mergeCell ref="AD13:AH13"/>
    <mergeCell ref="AI13:AN13"/>
    <mergeCell ref="AO13:AQ13"/>
    <mergeCell ref="A13:C13"/>
    <mergeCell ref="D13:R13"/>
    <mergeCell ref="S13:U13"/>
    <mergeCell ref="V13:X13"/>
    <mergeCell ref="AS12:AT12"/>
    <mergeCell ref="AU12:BA12"/>
    <mergeCell ref="BB12:BF12"/>
    <mergeCell ref="BG12:CF12"/>
    <mergeCell ref="Y12:AC12"/>
    <mergeCell ref="AD12:AH12"/>
    <mergeCell ref="AI12:AN12"/>
    <mergeCell ref="AO12:AQ12"/>
    <mergeCell ref="A12:C12"/>
    <mergeCell ref="D12:R12"/>
    <mergeCell ref="S12:U12"/>
    <mergeCell ref="V12:X12"/>
    <mergeCell ref="AS11:AT11"/>
    <mergeCell ref="AU11:BA11"/>
    <mergeCell ref="BB11:BF11"/>
    <mergeCell ref="BG11:CF11"/>
    <mergeCell ref="Y11:AC11"/>
    <mergeCell ref="AD11:AH11"/>
    <mergeCell ref="AI11:AN11"/>
    <mergeCell ref="AO11:AQ11"/>
    <mergeCell ref="A11:C11"/>
    <mergeCell ref="D11:R11"/>
    <mergeCell ref="S11:U11"/>
    <mergeCell ref="V11:X11"/>
    <mergeCell ref="AS10:AT10"/>
    <mergeCell ref="AU10:BA10"/>
    <mergeCell ref="BB10:BF10"/>
    <mergeCell ref="BG10:CF10"/>
    <mergeCell ref="Y10:AC10"/>
    <mergeCell ref="AD10:AH10"/>
    <mergeCell ref="AI10:AN10"/>
    <mergeCell ref="AO10:AQ10"/>
    <mergeCell ref="A10:C10"/>
    <mergeCell ref="D10:R10"/>
    <mergeCell ref="S10:U10"/>
    <mergeCell ref="V10:X10"/>
    <mergeCell ref="AS9:AT9"/>
    <mergeCell ref="AU9:BA9"/>
    <mergeCell ref="BB9:BF9"/>
    <mergeCell ref="BG9:CF9"/>
    <mergeCell ref="Y9:AC9"/>
    <mergeCell ref="AD9:AH9"/>
    <mergeCell ref="AI9:AN9"/>
    <mergeCell ref="AO9:AQ9"/>
    <mergeCell ref="A9:C9"/>
    <mergeCell ref="D9:R9"/>
    <mergeCell ref="S9:U9"/>
    <mergeCell ref="V9:X9"/>
    <mergeCell ref="AS8:AT8"/>
    <mergeCell ref="AU8:BA8"/>
    <mergeCell ref="BB8:BF8"/>
    <mergeCell ref="BG8:CF8"/>
    <mergeCell ref="Y8:AC8"/>
    <mergeCell ref="AD8:AH8"/>
    <mergeCell ref="AI8:AN8"/>
    <mergeCell ref="AO8:AQ8"/>
    <mergeCell ref="A8:C8"/>
    <mergeCell ref="D8:R8"/>
    <mergeCell ref="S8:U8"/>
    <mergeCell ref="V8:X8"/>
    <mergeCell ref="A1:AP5"/>
    <mergeCell ref="Y7:AC7"/>
    <mergeCell ref="AD7:AH7"/>
    <mergeCell ref="AI7:AN7"/>
    <mergeCell ref="AO7:AQ7"/>
    <mergeCell ref="A7:C7"/>
    <mergeCell ref="D7:R7"/>
    <mergeCell ref="S7:U7"/>
    <mergeCell ref="V7:X7"/>
    <mergeCell ref="AO6:AQ6"/>
    <mergeCell ref="BY2:BZ2"/>
    <mergeCell ref="CA4:CF4"/>
    <mergeCell ref="A6:C6"/>
    <mergeCell ref="D6:R6"/>
    <mergeCell ref="S6:U6"/>
    <mergeCell ref="V6:X6"/>
    <mergeCell ref="Y6:AC6"/>
    <mergeCell ref="AD6:AH6"/>
    <mergeCell ref="AI6:AN6"/>
    <mergeCell ref="AS6:AT6"/>
    <mergeCell ref="BS4:BT4"/>
    <mergeCell ref="BV4:BW4"/>
    <mergeCell ref="BY4:BZ4"/>
    <mergeCell ref="CA2:CF2"/>
    <mergeCell ref="BS3:BT3"/>
    <mergeCell ref="BV3:BW3"/>
    <mergeCell ref="BY3:BZ3"/>
    <mergeCell ref="CA3:CF3"/>
    <mergeCell ref="BS2:BT2"/>
    <mergeCell ref="BV2:BW2"/>
  </mergeCells>
  <printOptions/>
  <pageMargins left="0" right="0" top="0.393700787401575" bottom="0.393700787401575" header="0.31496062992126" footer="0.31496062992126"/>
  <pageSetup horizontalDpi="600" verticalDpi="600" orientation="landscape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12"/>
  <dimension ref="A1:EC42"/>
  <sheetViews>
    <sheetView view="pageBreakPreview" zoomScale="60" zoomScaleNormal="75" workbookViewId="0" topLeftCell="A1">
      <selection activeCell="BS5" sqref="BS5"/>
    </sheetView>
  </sheetViews>
  <sheetFormatPr defaultColWidth="9.33203125" defaultRowHeight="12.75" customHeight="1"/>
  <cols>
    <col min="1" max="16384" width="1.83203125" style="1" customWidth="1"/>
  </cols>
  <sheetData>
    <row r="1" spans="1:133" ht="12.75" customHeight="1">
      <c r="A1" s="680" t="s">
        <v>1122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343"/>
      <c r="AR1" s="330">
        <f ca="1">IF(Build!BN499,OFFSET(Build!BP$498,Build!BN499,0),"")</f>
      </c>
      <c r="AS1" s="331"/>
      <c r="AT1" s="235"/>
      <c r="AU1" s="235"/>
      <c r="AV1" s="235"/>
      <c r="AW1" s="235"/>
      <c r="AX1" s="235"/>
      <c r="AY1" s="235"/>
      <c r="AZ1" s="235"/>
      <c r="BA1" s="338">
        <f ca="1">IF(Build!BN503,OFFSET(Build!BP$498,Build!BN503,0),"")</f>
      </c>
      <c r="BB1" s="235"/>
      <c r="BC1" s="235"/>
      <c r="BD1" s="235"/>
      <c r="BE1" s="235"/>
      <c r="BF1" s="235"/>
      <c r="BG1" s="235"/>
      <c r="BH1" s="235"/>
      <c r="BI1" s="332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203"/>
      <c r="CC1" s="30"/>
      <c r="CD1" s="30"/>
      <c r="CE1" s="203"/>
      <c r="CF1" s="199"/>
      <c r="CG1" s="41"/>
      <c r="CH1" s="41"/>
      <c r="CI1" s="41"/>
      <c r="CJ1" s="41"/>
      <c r="CK1" s="41"/>
      <c r="CL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</row>
    <row r="2" spans="1:133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343"/>
      <c r="AR2" s="333">
        <f ca="1">IF(Build!BN500,OFFSET(Build!BP$498,Build!BN500,0),"")</f>
      </c>
      <c r="AS2" s="6"/>
      <c r="AT2" s="124"/>
      <c r="AU2" s="124"/>
      <c r="AV2" s="124"/>
      <c r="AW2" s="124"/>
      <c r="AX2" s="124"/>
      <c r="AY2" s="124"/>
      <c r="AZ2" s="124"/>
      <c r="BA2" s="339">
        <f ca="1">IF(Build!BN504,OFFSET(Build!BP$498,Build!BN504,0),"")</f>
      </c>
      <c r="BB2" s="124"/>
      <c r="BC2" s="124"/>
      <c r="BD2" s="124"/>
      <c r="BE2" s="124"/>
      <c r="BF2" s="124"/>
      <c r="BG2" s="124"/>
      <c r="BH2" s="124"/>
      <c r="BI2" s="334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Build!V483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Build!W483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  <c r="CG2" s="41"/>
      <c r="CH2" s="41"/>
      <c r="CI2" s="41"/>
      <c r="CJ2" s="41"/>
      <c r="CK2" s="41"/>
      <c r="CL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343"/>
      <c r="AR3" s="333">
        <f ca="1">IF(Build!BN501,OFFSET(Build!BP$498,Build!BN501,0),"")</f>
      </c>
      <c r="AS3" s="6"/>
      <c r="AT3" s="124"/>
      <c r="AU3" s="124"/>
      <c r="AV3" s="124"/>
      <c r="AW3" s="124"/>
      <c r="AX3" s="124"/>
      <c r="AY3" s="124"/>
      <c r="AZ3" s="124"/>
      <c r="BA3" s="339">
        <f ca="1">IF(Build!BN505,OFFSET(Build!BP$498,Build!BN505,0),"")</f>
      </c>
      <c r="BB3" s="124"/>
      <c r="BC3" s="124"/>
      <c r="BD3" s="124"/>
      <c r="BE3" s="124"/>
      <c r="BF3" s="124"/>
      <c r="BG3" s="124"/>
      <c r="BH3" s="124"/>
      <c r="BI3" s="334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  <c r="CG3" s="41"/>
      <c r="CH3" s="41"/>
      <c r="CI3" s="41"/>
      <c r="CJ3" s="41"/>
      <c r="CK3" s="41"/>
      <c r="CL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</row>
    <row r="4" spans="1:131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343"/>
      <c r="AR4" s="335">
        <f ca="1">IF(Build!BN502,OFFSET(Build!BP$498,Build!BN502,0),"")</f>
      </c>
      <c r="AS4" s="12"/>
      <c r="AT4" s="336"/>
      <c r="AU4" s="336"/>
      <c r="AV4" s="336"/>
      <c r="AW4" s="336"/>
      <c r="AX4" s="336"/>
      <c r="AY4" s="336"/>
      <c r="AZ4" s="336"/>
      <c r="BA4" s="340">
        <f ca="1">IF(Build!BN506,OFFSET(Build!BP$498,Build!BN506,0),"")</f>
      </c>
      <c r="BB4" s="336"/>
      <c r="BC4" s="336"/>
      <c r="BD4" s="336"/>
      <c r="BE4" s="336"/>
      <c r="BF4" s="336"/>
      <c r="BG4" s="336"/>
      <c r="BH4" s="336"/>
      <c r="BI4" s="337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  <c r="CG4" s="41"/>
      <c r="CH4" s="41"/>
      <c r="CI4" s="41"/>
      <c r="CJ4" s="41"/>
      <c r="CK4" s="41"/>
      <c r="CL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</row>
    <row r="5" spans="1:131" ht="12.75" customHeight="1" thickBot="1">
      <c r="A5" s="683"/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3"/>
      <c r="Z5" s="683"/>
      <c r="AA5" s="683"/>
      <c r="AB5" s="683"/>
      <c r="AC5" s="683"/>
      <c r="AD5" s="683"/>
      <c r="AE5" s="683"/>
      <c r="AF5" s="683"/>
      <c r="AG5" s="683"/>
      <c r="AH5" s="683"/>
      <c r="AI5" s="683"/>
      <c r="AJ5" s="683"/>
      <c r="AK5" s="683"/>
      <c r="AL5" s="683"/>
      <c r="AM5" s="683"/>
      <c r="AN5" s="683"/>
      <c r="AO5" s="683"/>
      <c r="AP5" s="683"/>
      <c r="AQ5" s="345"/>
      <c r="AR5" s="34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6"/>
      <c r="CA5" s="6"/>
      <c r="CB5" s="6"/>
      <c r="CC5" s="6"/>
      <c r="CD5" s="6"/>
      <c r="CE5" s="6"/>
      <c r="CF5" s="6"/>
      <c r="CR5" s="41"/>
      <c r="CS5" s="41"/>
      <c r="CT5" s="41"/>
      <c r="CU5" s="41"/>
      <c r="CV5" s="41"/>
      <c r="CX5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IF(Build!AC499,OFFSET(Spells!V$2,Build!AC499,0),"")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IF(Build!AC499,OFFSET(Spells!W$2,Build!AC499,0),"")</f>
      </c>
      <c r="T7" s="433"/>
      <c r="U7" s="433"/>
      <c r="V7" s="433">
        <f ca="1">IF(Build!AC499,OFFSET(Spells!X$2,Build!AC499,0),"")</f>
      </c>
      <c r="W7" s="433"/>
      <c r="X7" s="433"/>
      <c r="Y7" s="678">
        <f ca="1">IF(Build!AC499,OFFSET(Spells!Y$2,Build!AC499,0),"")</f>
      </c>
      <c r="Z7" s="678"/>
      <c r="AA7" s="678"/>
      <c r="AB7" s="678"/>
      <c r="AC7" s="678"/>
      <c r="AD7" s="433">
        <f ca="1">IF(Build!AC499,OFFSET(Spells!Z$2,Build!AC499,0),"")</f>
      </c>
      <c r="AE7" s="433"/>
      <c r="AF7" s="433"/>
      <c r="AG7" s="433"/>
      <c r="AH7" s="433"/>
      <c r="AI7" s="433">
        <f ca="1">IF(Build!AC499,OFFSET(Spells!AA$2,Build!AC499,0),"")</f>
      </c>
      <c r="AJ7" s="433"/>
      <c r="AK7" s="433"/>
      <c r="AL7" s="433"/>
      <c r="AM7" s="433"/>
      <c r="AN7" s="433"/>
      <c r="AO7" s="433">
        <f ca="1">IF(AND(Build!AC499,LEN(OFFSET(Spells!AB$2,Build!AC499,0))&lt;5),OFFSET(Spells!AB$2,Build!AC499,0),"")</f>
      </c>
      <c r="AP7" s="433"/>
      <c r="AQ7" s="433"/>
      <c r="AR7" s="148">
        <f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ca="1">IF(AS7&lt;&gt;"",OFFSET(ActionDice,AS7,0),"")</f>
      </c>
      <c r="AV7" s="433"/>
      <c r="AW7" s="433"/>
      <c r="AX7" s="433"/>
      <c r="AY7" s="433"/>
      <c r="AZ7" s="433"/>
      <c r="BA7" s="433"/>
      <c r="BB7" s="433">
        <f ca="1">IF(Build!AC499,OFFSET(Spells!AC$2,Build!AC499,0),"")</f>
      </c>
      <c r="BC7" s="433"/>
      <c r="BD7" s="433"/>
      <c r="BE7" s="433"/>
      <c r="BF7" s="433"/>
      <c r="BG7" s="621">
        <f ca="1">IF(Build!AC499,OFFSET(Spells!AD$2,Build!AC499,0),"")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IF(Build!AC500,OFFSET(Spells!V$2,Build!AC500,0),"")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IF(Build!AC500,OFFSET(Spells!W$2,Build!AC500,0),"")</f>
      </c>
      <c r="T8" s="433"/>
      <c r="U8" s="433"/>
      <c r="V8" s="433">
        <f ca="1">IF(Build!AC500,OFFSET(Spells!X$2,Build!AC500,0),"")</f>
      </c>
      <c r="W8" s="433"/>
      <c r="X8" s="433"/>
      <c r="Y8" s="678">
        <f ca="1">IF(Build!AC500,OFFSET(Spells!Y$2,Build!AC500,0),"")</f>
      </c>
      <c r="Z8" s="678"/>
      <c r="AA8" s="678"/>
      <c r="AB8" s="678"/>
      <c r="AC8" s="678"/>
      <c r="AD8" s="433">
        <f ca="1">IF(Build!AC500,OFFSET(Spells!Z$2,Build!AC500,0),"")</f>
      </c>
      <c r="AE8" s="433"/>
      <c r="AF8" s="433"/>
      <c r="AG8" s="433"/>
      <c r="AH8" s="433"/>
      <c r="AI8" s="433">
        <f ca="1">IF(Build!AC500,OFFSET(Spells!AA$2,Build!AC500,0),"")</f>
      </c>
      <c r="AJ8" s="433"/>
      <c r="AK8" s="433"/>
      <c r="AL8" s="433"/>
      <c r="AM8" s="433"/>
      <c r="AN8" s="433"/>
      <c r="AO8" s="433">
        <f ca="1">IF(AND(Build!AC500,LEN(OFFSET(Spells!AB$2,Build!AC500,0))&lt;5),OFFSET(Spells!AB$2,Build!AC500,0),"")</f>
      </c>
      <c r="AP8" s="433"/>
      <c r="AQ8" s="433"/>
      <c r="AR8" s="148">
        <f aca="true" t="shared" si="0" ref="AR8:AR42">IF(AO8="","","=")</f>
      </c>
      <c r="AS8" s="433">
        <f>IF(AO8&lt;&gt;"",VLOOKUP(LEFT(AO8,FIND("+",AO8&amp;"+")-1),Build!X$480:Y$486,2,0)+IF(LEN(AO8)&gt;2,MID(AO8,FIND("+",AO8&amp;"+")+1,2),0),"")</f>
      </c>
      <c r="AT8" s="433"/>
      <c r="AU8" s="433">
        <f aca="true" ca="1" t="shared" si="1" ref="AU8:AU42">IF(AS8&lt;&gt;"",OFFSET(ActionDice,AS8,0),"")</f>
      </c>
      <c r="AV8" s="433"/>
      <c r="AW8" s="433"/>
      <c r="AX8" s="433"/>
      <c r="AY8" s="433"/>
      <c r="AZ8" s="433"/>
      <c r="BA8" s="433"/>
      <c r="BB8" s="433">
        <f ca="1">IF(Build!AC500,OFFSET(Spells!AC$2,Build!AC500,0),"")</f>
      </c>
      <c r="BC8" s="433"/>
      <c r="BD8" s="433"/>
      <c r="BE8" s="433"/>
      <c r="BF8" s="433"/>
      <c r="BG8" s="621">
        <f ca="1">IF(Build!AC500,OFFSET(Spells!AD$2,Build!AC500,0),"")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IF(Build!AC501,OFFSET(Spells!V$2,Build!AC501,0),"")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IF(Build!AC501,OFFSET(Spells!W$2,Build!AC501,0),"")</f>
      </c>
      <c r="T9" s="433"/>
      <c r="U9" s="433"/>
      <c r="V9" s="433">
        <f ca="1">IF(Build!AC501,OFFSET(Spells!X$2,Build!AC501,0),"")</f>
      </c>
      <c r="W9" s="433"/>
      <c r="X9" s="433"/>
      <c r="Y9" s="678">
        <f ca="1">IF(Build!AC501,OFFSET(Spells!Y$2,Build!AC501,0),"")</f>
      </c>
      <c r="Z9" s="678"/>
      <c r="AA9" s="678"/>
      <c r="AB9" s="678"/>
      <c r="AC9" s="678"/>
      <c r="AD9" s="433">
        <f ca="1">IF(Build!AC501,OFFSET(Spells!Z$2,Build!AC501,0),"")</f>
      </c>
      <c r="AE9" s="433"/>
      <c r="AF9" s="433"/>
      <c r="AG9" s="433"/>
      <c r="AH9" s="433"/>
      <c r="AI9" s="433">
        <f ca="1">IF(Build!AC501,OFFSET(Spells!AA$2,Build!AC501,0),"")</f>
      </c>
      <c r="AJ9" s="433"/>
      <c r="AK9" s="433"/>
      <c r="AL9" s="433"/>
      <c r="AM9" s="433"/>
      <c r="AN9" s="433"/>
      <c r="AO9" s="433">
        <f ca="1">IF(AND(Build!AC501,LEN(OFFSET(Spells!AB$2,Build!AC501,0))&lt;5),OFFSET(Spells!AB$2,Build!AC501,0),"")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IF(Build!AC501,OFFSET(Spells!AC$2,Build!AC501,0),"")</f>
      </c>
      <c r="BC9" s="433"/>
      <c r="BD9" s="433"/>
      <c r="BE9" s="433"/>
      <c r="BF9" s="433"/>
      <c r="BG9" s="621">
        <f ca="1">IF(Build!AC501,OFFSET(Spells!AD$2,Build!AC501,0),"")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IF(Build!AC502,OFFSET(Spells!V$2,Build!AC502,0),"")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IF(Build!AC502,OFFSET(Spells!W$2,Build!AC502,0),"")</f>
      </c>
      <c r="T10" s="433"/>
      <c r="U10" s="433"/>
      <c r="V10" s="433">
        <f ca="1">IF(Build!AC502,OFFSET(Spells!X$2,Build!AC502,0),"")</f>
      </c>
      <c r="W10" s="433"/>
      <c r="X10" s="433"/>
      <c r="Y10" s="678">
        <f ca="1">IF(Build!AC502,OFFSET(Spells!Y$2,Build!AC502,0),"")</f>
      </c>
      <c r="Z10" s="678"/>
      <c r="AA10" s="678"/>
      <c r="AB10" s="678"/>
      <c r="AC10" s="678"/>
      <c r="AD10" s="433">
        <f ca="1">IF(Build!AC502,OFFSET(Spells!Z$2,Build!AC502,0),"")</f>
      </c>
      <c r="AE10" s="433"/>
      <c r="AF10" s="433"/>
      <c r="AG10" s="433"/>
      <c r="AH10" s="433"/>
      <c r="AI10" s="433">
        <f ca="1">IF(Build!AC502,OFFSET(Spells!AA$2,Build!AC502,0),"")</f>
      </c>
      <c r="AJ10" s="433"/>
      <c r="AK10" s="433"/>
      <c r="AL10" s="433"/>
      <c r="AM10" s="433"/>
      <c r="AN10" s="433"/>
      <c r="AO10" s="433">
        <f ca="1">IF(AND(Build!AC502,LEN(OFFSET(Spells!AB$2,Build!AC502,0))&lt;5),OFFSET(Spells!AB$2,Build!AC502,0),"")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IF(Build!AC502,OFFSET(Spells!AC$2,Build!AC502,0),"")</f>
      </c>
      <c r="BC10" s="433"/>
      <c r="BD10" s="433"/>
      <c r="BE10" s="433"/>
      <c r="BF10" s="433"/>
      <c r="BG10" s="621">
        <f ca="1">IF(Build!AC502,OFFSET(Spells!AD$2,Build!AC502,0),"")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IF(Build!AC503,OFFSET(Spells!V$2,Build!AC503,0),"")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IF(Build!AC503,OFFSET(Spells!W$2,Build!AC503,0),"")</f>
      </c>
      <c r="T11" s="433"/>
      <c r="U11" s="433"/>
      <c r="V11" s="433">
        <f ca="1">IF(Build!AC503,OFFSET(Spells!X$2,Build!AC503,0),"")</f>
      </c>
      <c r="W11" s="433"/>
      <c r="X11" s="433"/>
      <c r="Y11" s="678">
        <f ca="1">IF(Build!AC503,OFFSET(Spells!Y$2,Build!AC503,0),"")</f>
      </c>
      <c r="Z11" s="678"/>
      <c r="AA11" s="678"/>
      <c r="AB11" s="678"/>
      <c r="AC11" s="678"/>
      <c r="AD11" s="433">
        <f ca="1">IF(Build!AC503,OFFSET(Spells!Z$2,Build!AC503,0),"")</f>
      </c>
      <c r="AE11" s="433"/>
      <c r="AF11" s="433"/>
      <c r="AG11" s="433"/>
      <c r="AH11" s="433"/>
      <c r="AI11" s="433">
        <f ca="1">IF(Build!AC503,OFFSET(Spells!AA$2,Build!AC503,0),"")</f>
      </c>
      <c r="AJ11" s="433"/>
      <c r="AK11" s="433"/>
      <c r="AL11" s="433"/>
      <c r="AM11" s="433"/>
      <c r="AN11" s="433"/>
      <c r="AO11" s="433">
        <f ca="1">IF(AND(Build!AC503,LEN(OFFSET(Spells!AB$2,Build!AC503,0))&lt;5),OFFSET(Spells!AB$2,Build!AC503,0),"")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IF(Build!AC503,OFFSET(Spells!AC$2,Build!AC503,0),"")</f>
      </c>
      <c r="BC11" s="433"/>
      <c r="BD11" s="433"/>
      <c r="BE11" s="433"/>
      <c r="BF11" s="433"/>
      <c r="BG11" s="621">
        <f ca="1">IF(Build!AC503,OFFSET(Spells!AD$2,Build!AC503,0),"")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IF(Build!AC504,OFFSET(Spells!V$2,Build!AC504,0),"")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IF(Build!AC504,OFFSET(Spells!W$2,Build!AC504,0),"")</f>
      </c>
      <c r="T12" s="433"/>
      <c r="U12" s="433"/>
      <c r="V12" s="433">
        <f ca="1">IF(Build!AC504,OFFSET(Spells!X$2,Build!AC504,0),"")</f>
      </c>
      <c r="W12" s="433"/>
      <c r="X12" s="433"/>
      <c r="Y12" s="678">
        <f ca="1">IF(Build!AC504,OFFSET(Spells!Y$2,Build!AC504,0),"")</f>
      </c>
      <c r="Z12" s="678"/>
      <c r="AA12" s="678"/>
      <c r="AB12" s="678"/>
      <c r="AC12" s="678"/>
      <c r="AD12" s="433">
        <f ca="1">IF(Build!AC504,OFFSET(Spells!Z$2,Build!AC504,0),"")</f>
      </c>
      <c r="AE12" s="433"/>
      <c r="AF12" s="433"/>
      <c r="AG12" s="433"/>
      <c r="AH12" s="433"/>
      <c r="AI12" s="433">
        <f ca="1">IF(Build!AC504,OFFSET(Spells!AA$2,Build!AC504,0),"")</f>
      </c>
      <c r="AJ12" s="433"/>
      <c r="AK12" s="433"/>
      <c r="AL12" s="433"/>
      <c r="AM12" s="433"/>
      <c r="AN12" s="433"/>
      <c r="AO12" s="433">
        <f ca="1">IF(AND(Build!AC504,LEN(OFFSET(Spells!AB$2,Build!AC504,0))&lt;5),OFFSET(Spells!AB$2,Build!AC504,0),"")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IF(Build!AC504,OFFSET(Spells!AC$2,Build!AC504,0),"")</f>
      </c>
      <c r="BC12" s="433"/>
      <c r="BD12" s="433"/>
      <c r="BE12" s="433"/>
      <c r="BF12" s="433"/>
      <c r="BG12" s="621">
        <f ca="1">IF(Build!AC504,OFFSET(Spells!AD$2,Build!AC504,0),"")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IF(Build!AC505,OFFSET(Spells!V$2,Build!AC505,0),"")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IF(Build!AC505,OFFSET(Spells!W$2,Build!AC505,0),"")</f>
      </c>
      <c r="T13" s="433"/>
      <c r="U13" s="433"/>
      <c r="V13" s="433">
        <f ca="1">IF(Build!AC505,OFFSET(Spells!X$2,Build!AC505,0),"")</f>
      </c>
      <c r="W13" s="433"/>
      <c r="X13" s="433"/>
      <c r="Y13" s="678">
        <f ca="1">IF(Build!AC505,OFFSET(Spells!Y$2,Build!AC505,0),"")</f>
      </c>
      <c r="Z13" s="678"/>
      <c r="AA13" s="678"/>
      <c r="AB13" s="678"/>
      <c r="AC13" s="678"/>
      <c r="AD13" s="433">
        <f ca="1">IF(Build!AC505,OFFSET(Spells!Z$2,Build!AC505,0),"")</f>
      </c>
      <c r="AE13" s="433"/>
      <c r="AF13" s="433"/>
      <c r="AG13" s="433"/>
      <c r="AH13" s="433"/>
      <c r="AI13" s="433">
        <f ca="1">IF(Build!AC505,OFFSET(Spells!AA$2,Build!AC505,0),"")</f>
      </c>
      <c r="AJ13" s="433"/>
      <c r="AK13" s="433"/>
      <c r="AL13" s="433"/>
      <c r="AM13" s="433"/>
      <c r="AN13" s="433"/>
      <c r="AO13" s="433">
        <f ca="1">IF(AND(Build!AC505,LEN(OFFSET(Spells!AB$2,Build!AC505,0))&lt;5),OFFSET(Spells!AB$2,Build!AC505,0),"")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IF(Build!AC505,OFFSET(Spells!AC$2,Build!AC505,0),"")</f>
      </c>
      <c r="BC13" s="433"/>
      <c r="BD13" s="433"/>
      <c r="BE13" s="433"/>
      <c r="BF13" s="433"/>
      <c r="BG13" s="621">
        <f ca="1">IF(Build!AC505,OFFSET(Spells!AD$2,Build!AC505,0),"")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IF(Build!AC506,OFFSET(Spells!V$2,Build!AC506,0),"")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IF(Build!AC506,OFFSET(Spells!W$2,Build!AC506,0),"")</f>
      </c>
      <c r="T14" s="433"/>
      <c r="U14" s="433"/>
      <c r="V14" s="433">
        <f ca="1">IF(Build!AC506,OFFSET(Spells!X$2,Build!AC506,0),"")</f>
      </c>
      <c r="W14" s="433"/>
      <c r="X14" s="433"/>
      <c r="Y14" s="678">
        <f ca="1">IF(Build!AC506,OFFSET(Spells!Y$2,Build!AC506,0),"")</f>
      </c>
      <c r="Z14" s="678"/>
      <c r="AA14" s="678"/>
      <c r="AB14" s="678"/>
      <c r="AC14" s="678"/>
      <c r="AD14" s="433">
        <f ca="1">IF(Build!AC506,OFFSET(Spells!Z$2,Build!AC506,0),"")</f>
      </c>
      <c r="AE14" s="433"/>
      <c r="AF14" s="433"/>
      <c r="AG14" s="433"/>
      <c r="AH14" s="433"/>
      <c r="AI14" s="433">
        <f ca="1">IF(Build!AC506,OFFSET(Spells!AA$2,Build!AC506,0),"")</f>
      </c>
      <c r="AJ14" s="433"/>
      <c r="AK14" s="433"/>
      <c r="AL14" s="433"/>
      <c r="AM14" s="433"/>
      <c r="AN14" s="433"/>
      <c r="AO14" s="433">
        <f ca="1">IF(AND(Build!AC506,LEN(OFFSET(Spells!AB$2,Build!AC506,0))&lt;5),OFFSET(Spells!AB$2,Build!AC506,0),"")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IF(Build!AC506,OFFSET(Spells!AC$2,Build!AC506,0),"")</f>
      </c>
      <c r="BC14" s="433"/>
      <c r="BD14" s="433"/>
      <c r="BE14" s="433"/>
      <c r="BF14" s="433"/>
      <c r="BG14" s="621">
        <f ca="1">IF(Build!AC506,OFFSET(Spells!AD$2,Build!AC506,0),"")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IF(Build!AC507,OFFSET(Spells!V$2,Build!AC507,0),"")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IF(Build!AC507,OFFSET(Spells!W$2,Build!AC507,0),"")</f>
      </c>
      <c r="T15" s="433"/>
      <c r="U15" s="433"/>
      <c r="V15" s="433">
        <f ca="1">IF(Build!AC507,OFFSET(Spells!X$2,Build!AC507,0),"")</f>
      </c>
      <c r="W15" s="433"/>
      <c r="X15" s="433"/>
      <c r="Y15" s="678">
        <f ca="1">IF(Build!AC507,OFFSET(Spells!Y$2,Build!AC507,0),"")</f>
      </c>
      <c r="Z15" s="678"/>
      <c r="AA15" s="678"/>
      <c r="AB15" s="678"/>
      <c r="AC15" s="678"/>
      <c r="AD15" s="433">
        <f ca="1">IF(Build!AC507,OFFSET(Spells!Z$2,Build!AC507,0),"")</f>
      </c>
      <c r="AE15" s="433"/>
      <c r="AF15" s="433"/>
      <c r="AG15" s="433"/>
      <c r="AH15" s="433"/>
      <c r="AI15" s="433">
        <f ca="1">IF(Build!AC507,OFFSET(Spells!AA$2,Build!AC507,0),"")</f>
      </c>
      <c r="AJ15" s="433"/>
      <c r="AK15" s="433"/>
      <c r="AL15" s="433"/>
      <c r="AM15" s="433"/>
      <c r="AN15" s="433"/>
      <c r="AO15" s="433">
        <f ca="1">IF(AND(Build!AC507,LEN(OFFSET(Spells!AB$2,Build!AC507,0))&lt;5),OFFSET(Spells!AB$2,Build!AC507,0),"")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IF(Build!AC507,OFFSET(Spells!AC$2,Build!AC507,0),"")</f>
      </c>
      <c r="BC15" s="433"/>
      <c r="BD15" s="433"/>
      <c r="BE15" s="433"/>
      <c r="BF15" s="433"/>
      <c r="BG15" s="621">
        <f ca="1">IF(Build!AC507,OFFSET(Spells!AD$2,Build!AC507,0),"")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IF(Build!AC508,OFFSET(Spells!V$2,Build!AC508,0),"")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IF(Build!AC508,OFFSET(Spells!W$2,Build!AC508,0),"")</f>
      </c>
      <c r="T16" s="433"/>
      <c r="U16" s="433"/>
      <c r="V16" s="433">
        <f ca="1">IF(Build!AC508,OFFSET(Spells!X$2,Build!AC508,0),"")</f>
      </c>
      <c r="W16" s="433"/>
      <c r="X16" s="433"/>
      <c r="Y16" s="678">
        <f ca="1">IF(Build!AC508,OFFSET(Spells!Y$2,Build!AC508,0),"")</f>
      </c>
      <c r="Z16" s="678"/>
      <c r="AA16" s="678"/>
      <c r="AB16" s="678"/>
      <c r="AC16" s="678"/>
      <c r="AD16" s="433">
        <f ca="1">IF(Build!AC508,OFFSET(Spells!Z$2,Build!AC508,0),"")</f>
      </c>
      <c r="AE16" s="433"/>
      <c r="AF16" s="433"/>
      <c r="AG16" s="433"/>
      <c r="AH16" s="433"/>
      <c r="AI16" s="433">
        <f ca="1">IF(Build!AC508,OFFSET(Spells!AA$2,Build!AC508,0),"")</f>
      </c>
      <c r="AJ16" s="433"/>
      <c r="AK16" s="433"/>
      <c r="AL16" s="433"/>
      <c r="AM16" s="433"/>
      <c r="AN16" s="433"/>
      <c r="AO16" s="433">
        <f ca="1">IF(AND(Build!AC508,LEN(OFFSET(Spells!AB$2,Build!AC508,0))&lt;5),OFFSET(Spells!AB$2,Build!AC508,0),"")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IF(Build!AC508,OFFSET(Spells!AC$2,Build!AC508,0),"")</f>
      </c>
      <c r="BC16" s="433"/>
      <c r="BD16" s="433"/>
      <c r="BE16" s="433"/>
      <c r="BF16" s="433"/>
      <c r="BG16" s="621">
        <f ca="1">IF(Build!AC508,OFFSET(Spells!AD$2,Build!AC508,0),"")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IF(Build!AC509,OFFSET(Spells!V$2,Build!AC509,0),"")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IF(Build!AC509,OFFSET(Spells!W$2,Build!AC509,0),"")</f>
      </c>
      <c r="T17" s="433"/>
      <c r="U17" s="433"/>
      <c r="V17" s="433">
        <f ca="1">IF(Build!AC509,OFFSET(Spells!X$2,Build!AC509,0),"")</f>
      </c>
      <c r="W17" s="433"/>
      <c r="X17" s="433"/>
      <c r="Y17" s="678">
        <f ca="1">IF(Build!AC509,OFFSET(Spells!Y$2,Build!AC509,0),"")</f>
      </c>
      <c r="Z17" s="678"/>
      <c r="AA17" s="678"/>
      <c r="AB17" s="678"/>
      <c r="AC17" s="678"/>
      <c r="AD17" s="433">
        <f ca="1">IF(Build!AC509,OFFSET(Spells!Z$2,Build!AC509,0),"")</f>
      </c>
      <c r="AE17" s="433"/>
      <c r="AF17" s="433"/>
      <c r="AG17" s="433"/>
      <c r="AH17" s="433"/>
      <c r="AI17" s="433">
        <f ca="1">IF(Build!AC509,OFFSET(Spells!AA$2,Build!AC509,0),"")</f>
      </c>
      <c r="AJ17" s="433"/>
      <c r="AK17" s="433"/>
      <c r="AL17" s="433"/>
      <c r="AM17" s="433"/>
      <c r="AN17" s="433"/>
      <c r="AO17" s="433">
        <f ca="1">IF(AND(Build!AC509,LEN(OFFSET(Spells!AB$2,Build!AC509,0))&lt;5),OFFSET(Spells!AB$2,Build!AC509,0),"")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IF(Build!AC509,OFFSET(Spells!AC$2,Build!AC509,0),"")</f>
      </c>
      <c r="BC17" s="433"/>
      <c r="BD17" s="433"/>
      <c r="BE17" s="433"/>
      <c r="BF17" s="433"/>
      <c r="BG17" s="621">
        <f ca="1">IF(Build!AC509,OFFSET(Spells!AD$2,Build!AC509,0),"")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IF(Build!AC510,OFFSET(Spells!V$2,Build!AC510,0),"")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IF(Build!AC510,OFFSET(Spells!W$2,Build!AC510,0),"")</f>
      </c>
      <c r="T18" s="433"/>
      <c r="U18" s="433"/>
      <c r="V18" s="433">
        <f ca="1">IF(Build!AC510,OFFSET(Spells!X$2,Build!AC510,0),"")</f>
      </c>
      <c r="W18" s="433"/>
      <c r="X18" s="433"/>
      <c r="Y18" s="678">
        <f ca="1">IF(Build!AC510,OFFSET(Spells!Y$2,Build!AC510,0),"")</f>
      </c>
      <c r="Z18" s="678"/>
      <c r="AA18" s="678"/>
      <c r="AB18" s="678"/>
      <c r="AC18" s="678"/>
      <c r="AD18" s="433">
        <f ca="1">IF(Build!AC510,OFFSET(Spells!Z$2,Build!AC510,0),"")</f>
      </c>
      <c r="AE18" s="433"/>
      <c r="AF18" s="433"/>
      <c r="AG18" s="433"/>
      <c r="AH18" s="433"/>
      <c r="AI18" s="433">
        <f ca="1">IF(Build!AC510,OFFSET(Spells!AA$2,Build!AC510,0),"")</f>
      </c>
      <c r="AJ18" s="433"/>
      <c r="AK18" s="433"/>
      <c r="AL18" s="433"/>
      <c r="AM18" s="433"/>
      <c r="AN18" s="433"/>
      <c r="AO18" s="433">
        <f ca="1">IF(AND(Build!AC510,LEN(OFFSET(Spells!AB$2,Build!AC510,0))&lt;5),OFFSET(Spells!AB$2,Build!AC510,0),"")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IF(Build!AC510,OFFSET(Spells!AC$2,Build!AC510,0),"")</f>
      </c>
      <c r="BC18" s="433"/>
      <c r="BD18" s="433"/>
      <c r="BE18" s="433"/>
      <c r="BF18" s="433"/>
      <c r="BG18" s="621">
        <f ca="1">IF(Build!AC510,OFFSET(Spells!AD$2,Build!AC510,0),"")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IF(Build!AC511,OFFSET(Spells!V$2,Build!AC511,0),"")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IF(Build!AC511,OFFSET(Spells!W$2,Build!AC511,0),"")</f>
      </c>
      <c r="T19" s="433"/>
      <c r="U19" s="433"/>
      <c r="V19" s="433">
        <f ca="1">IF(Build!AC511,OFFSET(Spells!X$2,Build!AC511,0),"")</f>
      </c>
      <c r="W19" s="433"/>
      <c r="X19" s="433"/>
      <c r="Y19" s="678">
        <f ca="1">IF(Build!AC511,OFFSET(Spells!Y$2,Build!AC511,0),"")</f>
      </c>
      <c r="Z19" s="678"/>
      <c r="AA19" s="678"/>
      <c r="AB19" s="678"/>
      <c r="AC19" s="678"/>
      <c r="AD19" s="433">
        <f ca="1">IF(Build!AC511,OFFSET(Spells!Z$2,Build!AC511,0),"")</f>
      </c>
      <c r="AE19" s="433"/>
      <c r="AF19" s="433"/>
      <c r="AG19" s="433"/>
      <c r="AH19" s="433"/>
      <c r="AI19" s="433">
        <f ca="1">IF(Build!AC511,OFFSET(Spells!AA$2,Build!AC511,0),"")</f>
      </c>
      <c r="AJ19" s="433"/>
      <c r="AK19" s="433"/>
      <c r="AL19" s="433"/>
      <c r="AM19" s="433"/>
      <c r="AN19" s="433"/>
      <c r="AO19" s="433">
        <f ca="1">IF(AND(Build!AC511,LEN(OFFSET(Spells!AB$2,Build!AC511,0))&lt;5),OFFSET(Spells!AB$2,Build!AC511,0),"")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IF(Build!AC511,OFFSET(Spells!AC$2,Build!AC511,0),"")</f>
      </c>
      <c r="BC19" s="433"/>
      <c r="BD19" s="433"/>
      <c r="BE19" s="433"/>
      <c r="BF19" s="433"/>
      <c r="BG19" s="621">
        <f ca="1">IF(Build!AC511,OFFSET(Spells!AD$2,Build!AC511,0),"")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IF(Build!AC512,OFFSET(Spells!V$2,Build!AC512,0),"")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IF(Build!AC512,OFFSET(Spells!W$2,Build!AC512,0),"")</f>
      </c>
      <c r="T20" s="433"/>
      <c r="U20" s="433"/>
      <c r="V20" s="433">
        <f ca="1">IF(Build!AC512,OFFSET(Spells!X$2,Build!AC512,0),"")</f>
      </c>
      <c r="W20" s="433"/>
      <c r="X20" s="433"/>
      <c r="Y20" s="678">
        <f ca="1">IF(Build!AC512,OFFSET(Spells!Y$2,Build!AC512,0),"")</f>
      </c>
      <c r="Z20" s="678"/>
      <c r="AA20" s="678"/>
      <c r="AB20" s="678"/>
      <c r="AC20" s="678"/>
      <c r="AD20" s="433">
        <f ca="1">IF(Build!AC512,OFFSET(Spells!Z$2,Build!AC512,0),"")</f>
      </c>
      <c r="AE20" s="433"/>
      <c r="AF20" s="433"/>
      <c r="AG20" s="433"/>
      <c r="AH20" s="433"/>
      <c r="AI20" s="433">
        <f ca="1">IF(Build!AC512,OFFSET(Spells!AA$2,Build!AC512,0),"")</f>
      </c>
      <c r="AJ20" s="433"/>
      <c r="AK20" s="433"/>
      <c r="AL20" s="433"/>
      <c r="AM20" s="433"/>
      <c r="AN20" s="433"/>
      <c r="AO20" s="433">
        <f ca="1">IF(AND(Build!AC512,LEN(OFFSET(Spells!AB$2,Build!AC512,0))&lt;5),OFFSET(Spells!AB$2,Build!AC512,0),"")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IF(Build!AC512,OFFSET(Spells!AC$2,Build!AC512,0),"")</f>
      </c>
      <c r="BC20" s="433"/>
      <c r="BD20" s="433"/>
      <c r="BE20" s="433"/>
      <c r="BF20" s="433"/>
      <c r="BG20" s="621">
        <f ca="1">IF(Build!AC512,OFFSET(Spells!AD$2,Build!AC512,0),"")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IF(Build!AC513,OFFSET(Spells!V$2,Build!AC513,0),"")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IF(Build!AC513,OFFSET(Spells!W$2,Build!AC513,0),"")</f>
      </c>
      <c r="T21" s="433"/>
      <c r="U21" s="433"/>
      <c r="V21" s="433">
        <f ca="1">IF(Build!AC513,OFFSET(Spells!X$2,Build!AC513,0),"")</f>
      </c>
      <c r="W21" s="433"/>
      <c r="X21" s="433"/>
      <c r="Y21" s="678">
        <f ca="1">IF(Build!AC513,OFFSET(Spells!Y$2,Build!AC513,0),"")</f>
      </c>
      <c r="Z21" s="678"/>
      <c r="AA21" s="678"/>
      <c r="AB21" s="678"/>
      <c r="AC21" s="678"/>
      <c r="AD21" s="433">
        <f ca="1">IF(Build!AC513,OFFSET(Spells!Z$2,Build!AC513,0),"")</f>
      </c>
      <c r="AE21" s="433"/>
      <c r="AF21" s="433"/>
      <c r="AG21" s="433"/>
      <c r="AH21" s="433"/>
      <c r="AI21" s="433">
        <f ca="1">IF(Build!AC513,OFFSET(Spells!AA$2,Build!AC513,0),"")</f>
      </c>
      <c r="AJ21" s="433"/>
      <c r="AK21" s="433"/>
      <c r="AL21" s="433"/>
      <c r="AM21" s="433"/>
      <c r="AN21" s="433"/>
      <c r="AO21" s="433">
        <f ca="1">IF(AND(Build!AC513,LEN(OFFSET(Spells!AB$2,Build!AC513,0))&lt;5),OFFSET(Spells!AB$2,Build!AC513,0),"")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IF(Build!AC513,OFFSET(Spells!AC$2,Build!AC513,0),"")</f>
      </c>
      <c r="BC21" s="433"/>
      <c r="BD21" s="433"/>
      <c r="BE21" s="433"/>
      <c r="BF21" s="433"/>
      <c r="BG21" s="621">
        <f ca="1">IF(Build!AC513,OFFSET(Spells!AD$2,Build!AC513,0),"")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IF(Build!AC514,OFFSET(Spells!V$2,Build!AC514,0),"")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IF(Build!AC514,OFFSET(Spells!W$2,Build!AC514,0),"")</f>
      </c>
      <c r="T22" s="433"/>
      <c r="U22" s="433"/>
      <c r="V22" s="433">
        <f ca="1">IF(Build!AC514,OFFSET(Spells!X$2,Build!AC514,0),"")</f>
      </c>
      <c r="W22" s="433"/>
      <c r="X22" s="433"/>
      <c r="Y22" s="678">
        <f ca="1">IF(Build!AC514,OFFSET(Spells!Y$2,Build!AC514,0),"")</f>
      </c>
      <c r="Z22" s="678"/>
      <c r="AA22" s="678"/>
      <c r="AB22" s="678"/>
      <c r="AC22" s="678"/>
      <c r="AD22" s="433">
        <f ca="1">IF(Build!AC514,OFFSET(Spells!Z$2,Build!AC514,0),"")</f>
      </c>
      <c r="AE22" s="433"/>
      <c r="AF22" s="433"/>
      <c r="AG22" s="433"/>
      <c r="AH22" s="433"/>
      <c r="AI22" s="433">
        <f ca="1">IF(Build!AC514,OFFSET(Spells!AA$2,Build!AC514,0),"")</f>
      </c>
      <c r="AJ22" s="433"/>
      <c r="AK22" s="433"/>
      <c r="AL22" s="433"/>
      <c r="AM22" s="433"/>
      <c r="AN22" s="433"/>
      <c r="AO22" s="433">
        <f ca="1">IF(AND(Build!AC514,LEN(OFFSET(Spells!AB$2,Build!AC514,0))&lt;5),OFFSET(Spells!AB$2,Build!AC514,0),"")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IF(Build!AC514,OFFSET(Spells!AC$2,Build!AC514,0),"")</f>
      </c>
      <c r="BC22" s="433"/>
      <c r="BD22" s="433"/>
      <c r="BE22" s="433"/>
      <c r="BF22" s="433"/>
      <c r="BG22" s="621">
        <f ca="1">IF(Build!AC514,OFFSET(Spells!AD$2,Build!AC514,0),"")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IF(Build!AC515,OFFSET(Spells!V$2,Build!AC515,0),"")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IF(Build!AC515,OFFSET(Spells!W$2,Build!AC515,0),"")</f>
      </c>
      <c r="T23" s="433"/>
      <c r="U23" s="433"/>
      <c r="V23" s="433">
        <f ca="1">IF(Build!AC515,OFFSET(Spells!X$2,Build!AC515,0),"")</f>
      </c>
      <c r="W23" s="433"/>
      <c r="X23" s="433"/>
      <c r="Y23" s="678">
        <f ca="1">IF(Build!AC515,OFFSET(Spells!Y$2,Build!AC515,0),"")</f>
      </c>
      <c r="Z23" s="678"/>
      <c r="AA23" s="678"/>
      <c r="AB23" s="678"/>
      <c r="AC23" s="678"/>
      <c r="AD23" s="433">
        <f ca="1">IF(Build!AC515,OFFSET(Spells!Z$2,Build!AC515,0),"")</f>
      </c>
      <c r="AE23" s="433"/>
      <c r="AF23" s="433"/>
      <c r="AG23" s="433"/>
      <c r="AH23" s="433"/>
      <c r="AI23" s="433">
        <f ca="1">IF(Build!AC515,OFFSET(Spells!AA$2,Build!AC515,0),"")</f>
      </c>
      <c r="AJ23" s="433"/>
      <c r="AK23" s="433"/>
      <c r="AL23" s="433"/>
      <c r="AM23" s="433"/>
      <c r="AN23" s="433"/>
      <c r="AO23" s="433">
        <f ca="1">IF(AND(Build!AC515,LEN(OFFSET(Spells!AB$2,Build!AC515,0))&lt;5),OFFSET(Spells!AB$2,Build!AC515,0),"")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IF(Build!AC515,OFFSET(Spells!AC$2,Build!AC515,0),"")</f>
      </c>
      <c r="BC23" s="433"/>
      <c r="BD23" s="433"/>
      <c r="BE23" s="433"/>
      <c r="BF23" s="433"/>
      <c r="BG23" s="621">
        <f ca="1">IF(Build!AC515,OFFSET(Spells!AD$2,Build!AC515,0),"")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IF(Build!AC516,OFFSET(Spells!V$2,Build!AC516,0),"")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IF(Build!AC516,OFFSET(Spells!W$2,Build!AC516,0),"")</f>
      </c>
      <c r="T24" s="433"/>
      <c r="U24" s="433"/>
      <c r="V24" s="433">
        <f ca="1">IF(Build!AC516,OFFSET(Spells!X$2,Build!AC516,0),"")</f>
      </c>
      <c r="W24" s="433"/>
      <c r="X24" s="433"/>
      <c r="Y24" s="678">
        <f ca="1">IF(Build!AC516,OFFSET(Spells!Y$2,Build!AC516,0),"")</f>
      </c>
      <c r="Z24" s="678"/>
      <c r="AA24" s="678"/>
      <c r="AB24" s="678"/>
      <c r="AC24" s="678"/>
      <c r="AD24" s="433">
        <f ca="1">IF(Build!AC516,OFFSET(Spells!Z$2,Build!AC516,0),"")</f>
      </c>
      <c r="AE24" s="433"/>
      <c r="AF24" s="433"/>
      <c r="AG24" s="433"/>
      <c r="AH24" s="433"/>
      <c r="AI24" s="433">
        <f ca="1">IF(Build!AC516,OFFSET(Spells!AA$2,Build!AC516,0),"")</f>
      </c>
      <c r="AJ24" s="433"/>
      <c r="AK24" s="433"/>
      <c r="AL24" s="433"/>
      <c r="AM24" s="433"/>
      <c r="AN24" s="433"/>
      <c r="AO24" s="433">
        <f ca="1">IF(AND(Build!AC516,LEN(OFFSET(Spells!AB$2,Build!AC516,0))&lt;5),OFFSET(Spells!AB$2,Build!AC516,0),"")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IF(Build!AC516,OFFSET(Spells!AC$2,Build!AC516,0),"")</f>
      </c>
      <c r="BC24" s="433"/>
      <c r="BD24" s="433"/>
      <c r="BE24" s="433"/>
      <c r="BF24" s="433"/>
      <c r="BG24" s="621">
        <f ca="1">IF(Build!AC516,OFFSET(Spells!AD$2,Build!AC516,0),"")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IF(Build!AC517,OFFSET(Spells!V$2,Build!AC517,0),"")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IF(Build!AC517,OFFSET(Spells!W$2,Build!AC517,0),"")</f>
      </c>
      <c r="T25" s="433"/>
      <c r="U25" s="433"/>
      <c r="V25" s="433">
        <f ca="1">IF(Build!AC517,OFFSET(Spells!X$2,Build!AC517,0),"")</f>
      </c>
      <c r="W25" s="433"/>
      <c r="X25" s="433"/>
      <c r="Y25" s="678">
        <f ca="1">IF(Build!AC517,OFFSET(Spells!Y$2,Build!AC517,0),"")</f>
      </c>
      <c r="Z25" s="678"/>
      <c r="AA25" s="678"/>
      <c r="AB25" s="678"/>
      <c r="AC25" s="678"/>
      <c r="AD25" s="433">
        <f ca="1">IF(Build!AC517,OFFSET(Spells!Z$2,Build!AC517,0),"")</f>
      </c>
      <c r="AE25" s="433"/>
      <c r="AF25" s="433"/>
      <c r="AG25" s="433"/>
      <c r="AH25" s="433"/>
      <c r="AI25" s="433">
        <f ca="1">IF(Build!AC517,OFFSET(Spells!AA$2,Build!AC517,0),"")</f>
      </c>
      <c r="AJ25" s="433"/>
      <c r="AK25" s="433"/>
      <c r="AL25" s="433"/>
      <c r="AM25" s="433"/>
      <c r="AN25" s="433"/>
      <c r="AO25" s="433">
        <f ca="1">IF(AND(Build!AC517,LEN(OFFSET(Spells!AB$2,Build!AC517,0))&lt;5),OFFSET(Spells!AB$2,Build!AC517,0),"")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IF(Build!AC517,OFFSET(Spells!AC$2,Build!AC517,0),"")</f>
      </c>
      <c r="BC25" s="433"/>
      <c r="BD25" s="433"/>
      <c r="BE25" s="433"/>
      <c r="BF25" s="433"/>
      <c r="BG25" s="621">
        <f ca="1">IF(Build!AC517,OFFSET(Spells!AD$2,Build!AC517,0),"")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IF(Build!AC518,OFFSET(Spells!V$2,Build!AC518,0),"")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IF(Build!AC518,OFFSET(Spells!W$2,Build!AC518,0),"")</f>
      </c>
      <c r="T26" s="433"/>
      <c r="U26" s="433"/>
      <c r="V26" s="433">
        <f ca="1">IF(Build!AC518,OFFSET(Spells!X$2,Build!AC518,0),"")</f>
      </c>
      <c r="W26" s="433"/>
      <c r="X26" s="433"/>
      <c r="Y26" s="678">
        <f ca="1">IF(Build!AC518,OFFSET(Spells!Y$2,Build!AC518,0),"")</f>
      </c>
      <c r="Z26" s="678"/>
      <c r="AA26" s="678"/>
      <c r="AB26" s="678"/>
      <c r="AC26" s="678"/>
      <c r="AD26" s="433">
        <f ca="1">IF(Build!AC518,OFFSET(Spells!Z$2,Build!AC518,0),"")</f>
      </c>
      <c r="AE26" s="433"/>
      <c r="AF26" s="433"/>
      <c r="AG26" s="433"/>
      <c r="AH26" s="433"/>
      <c r="AI26" s="433">
        <f ca="1">IF(Build!AC518,OFFSET(Spells!AA$2,Build!AC518,0),"")</f>
      </c>
      <c r="AJ26" s="433"/>
      <c r="AK26" s="433"/>
      <c r="AL26" s="433"/>
      <c r="AM26" s="433"/>
      <c r="AN26" s="433"/>
      <c r="AO26" s="433">
        <f ca="1">IF(AND(Build!AC518,LEN(OFFSET(Spells!AB$2,Build!AC518,0))&lt;5),OFFSET(Spells!AB$2,Build!AC518,0),"")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IF(Build!AC518,OFFSET(Spells!AC$2,Build!AC518,0),"")</f>
      </c>
      <c r="BC26" s="433"/>
      <c r="BD26" s="433"/>
      <c r="BE26" s="433"/>
      <c r="BF26" s="433"/>
      <c r="BG26" s="621">
        <f ca="1">IF(Build!AC518,OFFSET(Spells!AD$2,Build!AC518,0),"")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IF(Build!AC519,OFFSET(Spells!V$2,Build!AC519,0),"")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IF(Build!AC519,OFFSET(Spells!W$2,Build!AC519,0),"")</f>
      </c>
      <c r="T27" s="433"/>
      <c r="U27" s="433"/>
      <c r="V27" s="433">
        <f ca="1">IF(Build!AC519,OFFSET(Spells!X$2,Build!AC519,0),"")</f>
      </c>
      <c r="W27" s="433"/>
      <c r="X27" s="433"/>
      <c r="Y27" s="678">
        <f ca="1">IF(Build!AC519,OFFSET(Spells!Y$2,Build!AC519,0),"")</f>
      </c>
      <c r="Z27" s="678"/>
      <c r="AA27" s="678"/>
      <c r="AB27" s="678"/>
      <c r="AC27" s="678"/>
      <c r="AD27" s="433">
        <f ca="1">IF(Build!AC519,OFFSET(Spells!Z$2,Build!AC519,0),"")</f>
      </c>
      <c r="AE27" s="433"/>
      <c r="AF27" s="433"/>
      <c r="AG27" s="433"/>
      <c r="AH27" s="433"/>
      <c r="AI27" s="433">
        <f ca="1">IF(Build!AC519,OFFSET(Spells!AA$2,Build!AC519,0),"")</f>
      </c>
      <c r="AJ27" s="433"/>
      <c r="AK27" s="433"/>
      <c r="AL27" s="433"/>
      <c r="AM27" s="433"/>
      <c r="AN27" s="433"/>
      <c r="AO27" s="433">
        <f ca="1">IF(AND(Build!AC519,LEN(OFFSET(Spells!AB$2,Build!AC519,0))&lt;5),OFFSET(Spells!AB$2,Build!AC519,0),"")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IF(Build!AC519,OFFSET(Spells!AC$2,Build!AC519,0),"")</f>
      </c>
      <c r="BC27" s="433"/>
      <c r="BD27" s="433"/>
      <c r="BE27" s="433"/>
      <c r="BF27" s="433"/>
      <c r="BG27" s="621">
        <f ca="1">IF(Build!AC519,OFFSET(Spells!AD$2,Build!AC519,0),"")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IF(Build!AC520,OFFSET(Spells!V$2,Build!AC520,0),"")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IF(Build!AC520,OFFSET(Spells!W$2,Build!AC520,0),"")</f>
      </c>
      <c r="T28" s="433"/>
      <c r="U28" s="433"/>
      <c r="V28" s="433">
        <f ca="1">IF(Build!AC520,OFFSET(Spells!X$2,Build!AC520,0),"")</f>
      </c>
      <c r="W28" s="433"/>
      <c r="X28" s="433"/>
      <c r="Y28" s="678">
        <f ca="1">IF(Build!AC520,OFFSET(Spells!Y$2,Build!AC520,0),"")</f>
      </c>
      <c r="Z28" s="678"/>
      <c r="AA28" s="678"/>
      <c r="AB28" s="678"/>
      <c r="AC28" s="678"/>
      <c r="AD28" s="433">
        <f ca="1">IF(Build!AC520,OFFSET(Spells!Z$2,Build!AC520,0),"")</f>
      </c>
      <c r="AE28" s="433"/>
      <c r="AF28" s="433"/>
      <c r="AG28" s="433"/>
      <c r="AH28" s="433"/>
      <c r="AI28" s="433">
        <f ca="1">IF(Build!AC520,OFFSET(Spells!AA$2,Build!AC520,0),"")</f>
      </c>
      <c r="AJ28" s="433"/>
      <c r="AK28" s="433"/>
      <c r="AL28" s="433"/>
      <c r="AM28" s="433"/>
      <c r="AN28" s="433"/>
      <c r="AO28" s="433">
        <f ca="1">IF(AND(Build!AC520,LEN(OFFSET(Spells!AB$2,Build!AC520,0))&lt;5),OFFSET(Spells!AB$2,Build!AC520,0),"")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IF(Build!AC520,OFFSET(Spells!AC$2,Build!AC520,0),"")</f>
      </c>
      <c r="BC28" s="433"/>
      <c r="BD28" s="433"/>
      <c r="BE28" s="433"/>
      <c r="BF28" s="433"/>
      <c r="BG28" s="621">
        <f ca="1">IF(Build!AC520,OFFSET(Spells!AD$2,Build!AC520,0),"")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IF(Build!AC521,OFFSET(Spells!V$2,Build!AC521,0),"")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IF(Build!AC521,OFFSET(Spells!W$2,Build!AC521,0),"")</f>
      </c>
      <c r="T29" s="433"/>
      <c r="U29" s="433"/>
      <c r="V29" s="433">
        <f ca="1">IF(Build!AC521,OFFSET(Spells!X$2,Build!AC521,0),"")</f>
      </c>
      <c r="W29" s="433"/>
      <c r="X29" s="433"/>
      <c r="Y29" s="678">
        <f ca="1">IF(Build!AC521,OFFSET(Spells!Y$2,Build!AC521,0),"")</f>
      </c>
      <c r="Z29" s="678"/>
      <c r="AA29" s="678"/>
      <c r="AB29" s="678"/>
      <c r="AC29" s="678"/>
      <c r="AD29" s="433">
        <f ca="1">IF(Build!AC521,OFFSET(Spells!Z$2,Build!AC521,0),"")</f>
      </c>
      <c r="AE29" s="433"/>
      <c r="AF29" s="433"/>
      <c r="AG29" s="433"/>
      <c r="AH29" s="433"/>
      <c r="AI29" s="433">
        <f ca="1">IF(Build!AC521,OFFSET(Spells!AA$2,Build!AC521,0),"")</f>
      </c>
      <c r="AJ29" s="433"/>
      <c r="AK29" s="433"/>
      <c r="AL29" s="433"/>
      <c r="AM29" s="433"/>
      <c r="AN29" s="433"/>
      <c r="AO29" s="433">
        <f ca="1">IF(AND(Build!AC521,LEN(OFFSET(Spells!AB$2,Build!AC521,0))&lt;5),OFFSET(Spells!AB$2,Build!AC521,0),"")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IF(Build!AC521,OFFSET(Spells!AC$2,Build!AC521,0),"")</f>
      </c>
      <c r="BC29" s="433"/>
      <c r="BD29" s="433"/>
      <c r="BE29" s="433"/>
      <c r="BF29" s="433"/>
      <c r="BG29" s="621">
        <f ca="1">IF(Build!AC521,OFFSET(Spells!AD$2,Build!AC521,0),"")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IF(Build!AC522,OFFSET(Spells!V$2,Build!AC522,0),"")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IF(Build!AC522,OFFSET(Spells!W$2,Build!AC522,0),"")</f>
      </c>
      <c r="T30" s="433"/>
      <c r="U30" s="433"/>
      <c r="V30" s="433">
        <f ca="1">IF(Build!AC522,OFFSET(Spells!X$2,Build!AC522,0),"")</f>
      </c>
      <c r="W30" s="433"/>
      <c r="X30" s="433"/>
      <c r="Y30" s="678">
        <f ca="1">IF(Build!AC522,OFFSET(Spells!Y$2,Build!AC522,0),"")</f>
      </c>
      <c r="Z30" s="678"/>
      <c r="AA30" s="678"/>
      <c r="AB30" s="678"/>
      <c r="AC30" s="678"/>
      <c r="AD30" s="433">
        <f ca="1">IF(Build!AC522,OFFSET(Spells!Z$2,Build!AC522,0),"")</f>
      </c>
      <c r="AE30" s="433"/>
      <c r="AF30" s="433"/>
      <c r="AG30" s="433"/>
      <c r="AH30" s="433"/>
      <c r="AI30" s="433">
        <f ca="1">IF(Build!AC522,OFFSET(Spells!AA$2,Build!AC522,0),"")</f>
      </c>
      <c r="AJ30" s="433"/>
      <c r="AK30" s="433"/>
      <c r="AL30" s="433"/>
      <c r="AM30" s="433"/>
      <c r="AN30" s="433"/>
      <c r="AO30" s="433">
        <f ca="1">IF(AND(Build!AC522,LEN(OFFSET(Spells!AB$2,Build!AC522,0))&lt;5),OFFSET(Spells!AB$2,Build!AC522,0),"")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IF(Build!AC522,OFFSET(Spells!AC$2,Build!AC522,0),"")</f>
      </c>
      <c r="BC30" s="433"/>
      <c r="BD30" s="433"/>
      <c r="BE30" s="433"/>
      <c r="BF30" s="433"/>
      <c r="BG30" s="621">
        <f ca="1">IF(Build!AC522,OFFSET(Spells!AD$2,Build!AC522,0),"")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IF(Build!AC523,OFFSET(Spells!V$2,Build!AC523,0),"")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IF(Build!AC523,OFFSET(Spells!W$2,Build!AC523,0),"")</f>
      </c>
      <c r="T31" s="433"/>
      <c r="U31" s="433"/>
      <c r="V31" s="433">
        <f ca="1">IF(Build!AC523,OFFSET(Spells!X$2,Build!AC523,0),"")</f>
      </c>
      <c r="W31" s="433"/>
      <c r="X31" s="433"/>
      <c r="Y31" s="678">
        <f ca="1">IF(Build!AC523,OFFSET(Spells!Y$2,Build!AC523,0),"")</f>
      </c>
      <c r="Z31" s="678"/>
      <c r="AA31" s="678"/>
      <c r="AB31" s="678"/>
      <c r="AC31" s="678"/>
      <c r="AD31" s="433">
        <f ca="1">IF(Build!AC523,OFFSET(Spells!Z$2,Build!AC523,0),"")</f>
      </c>
      <c r="AE31" s="433"/>
      <c r="AF31" s="433"/>
      <c r="AG31" s="433"/>
      <c r="AH31" s="433"/>
      <c r="AI31" s="433">
        <f ca="1">IF(Build!AC523,OFFSET(Spells!AA$2,Build!AC523,0),"")</f>
      </c>
      <c r="AJ31" s="433"/>
      <c r="AK31" s="433"/>
      <c r="AL31" s="433"/>
      <c r="AM31" s="433"/>
      <c r="AN31" s="433"/>
      <c r="AO31" s="433">
        <f ca="1">IF(AND(Build!AC523,LEN(OFFSET(Spells!AB$2,Build!AC523,0))&lt;5),OFFSET(Spells!AB$2,Build!AC523,0),"")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IF(Build!AC523,OFFSET(Spells!AC$2,Build!AC523,0),"")</f>
      </c>
      <c r="BC31" s="433"/>
      <c r="BD31" s="433"/>
      <c r="BE31" s="433"/>
      <c r="BF31" s="433"/>
      <c r="BG31" s="621">
        <f ca="1">IF(Build!AC523,OFFSET(Spells!AD$2,Build!AC523,0),"")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IF(Build!AC524,OFFSET(Spells!V$2,Build!AC524,0),"")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IF(Build!AC524,OFFSET(Spells!W$2,Build!AC524,0),"")</f>
      </c>
      <c r="T32" s="433"/>
      <c r="U32" s="433"/>
      <c r="V32" s="433">
        <f ca="1">IF(Build!AC524,OFFSET(Spells!X$2,Build!AC524,0),"")</f>
      </c>
      <c r="W32" s="433"/>
      <c r="X32" s="433"/>
      <c r="Y32" s="678">
        <f ca="1">IF(Build!AC524,OFFSET(Spells!Y$2,Build!AC524,0),"")</f>
      </c>
      <c r="Z32" s="678"/>
      <c r="AA32" s="678"/>
      <c r="AB32" s="678"/>
      <c r="AC32" s="678"/>
      <c r="AD32" s="433">
        <f ca="1">IF(Build!AC524,OFFSET(Spells!Z$2,Build!AC524,0),"")</f>
      </c>
      <c r="AE32" s="433"/>
      <c r="AF32" s="433"/>
      <c r="AG32" s="433"/>
      <c r="AH32" s="433"/>
      <c r="AI32" s="433">
        <f ca="1">IF(Build!AC524,OFFSET(Spells!AA$2,Build!AC524,0),"")</f>
      </c>
      <c r="AJ32" s="433"/>
      <c r="AK32" s="433"/>
      <c r="AL32" s="433"/>
      <c r="AM32" s="433"/>
      <c r="AN32" s="433"/>
      <c r="AO32" s="433">
        <f ca="1">IF(AND(Build!AC524,LEN(OFFSET(Spells!AB$2,Build!AC524,0))&lt;5),OFFSET(Spells!AB$2,Build!AC524,0),"")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IF(Build!AC524,OFFSET(Spells!AC$2,Build!AC524,0),"")</f>
      </c>
      <c r="BC32" s="433"/>
      <c r="BD32" s="433"/>
      <c r="BE32" s="433"/>
      <c r="BF32" s="433"/>
      <c r="BG32" s="621">
        <f ca="1">IF(Build!AC524,OFFSET(Spells!AD$2,Build!AC524,0),"")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IF(Build!AC525,OFFSET(Spells!V$2,Build!AC525,0),"")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IF(Build!AC525,OFFSET(Spells!W$2,Build!AC525,0),"")</f>
      </c>
      <c r="T33" s="433"/>
      <c r="U33" s="433"/>
      <c r="V33" s="433">
        <f ca="1">IF(Build!AC525,OFFSET(Spells!X$2,Build!AC525,0),"")</f>
      </c>
      <c r="W33" s="433"/>
      <c r="X33" s="433"/>
      <c r="Y33" s="678">
        <f ca="1">IF(Build!AC525,OFFSET(Spells!Y$2,Build!AC525,0),"")</f>
      </c>
      <c r="Z33" s="678"/>
      <c r="AA33" s="678"/>
      <c r="AB33" s="678"/>
      <c r="AC33" s="678"/>
      <c r="AD33" s="433">
        <f ca="1">IF(Build!AC525,OFFSET(Spells!Z$2,Build!AC525,0),"")</f>
      </c>
      <c r="AE33" s="433"/>
      <c r="AF33" s="433"/>
      <c r="AG33" s="433"/>
      <c r="AH33" s="433"/>
      <c r="AI33" s="433">
        <f ca="1">IF(Build!AC525,OFFSET(Spells!AA$2,Build!AC525,0),"")</f>
      </c>
      <c r="AJ33" s="433"/>
      <c r="AK33" s="433"/>
      <c r="AL33" s="433"/>
      <c r="AM33" s="433"/>
      <c r="AN33" s="433"/>
      <c r="AO33" s="433">
        <f ca="1">IF(AND(Build!AC525,LEN(OFFSET(Spells!AB$2,Build!AC525,0))&lt;5),OFFSET(Spells!AB$2,Build!AC525,0),"")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IF(Build!AC525,OFFSET(Spells!AC$2,Build!AC525,0),"")</f>
      </c>
      <c r="BC33" s="433"/>
      <c r="BD33" s="433"/>
      <c r="BE33" s="433"/>
      <c r="BF33" s="433"/>
      <c r="BG33" s="621">
        <f ca="1">IF(Build!AC525,OFFSET(Spells!AD$2,Build!AC525,0),"")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IF(Build!AC526,OFFSET(Spells!V$2,Build!AC526,0),"")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IF(Build!AC526,OFFSET(Spells!W$2,Build!AC526,0),"")</f>
      </c>
      <c r="T34" s="433"/>
      <c r="U34" s="433"/>
      <c r="V34" s="433">
        <f ca="1">IF(Build!AC526,OFFSET(Spells!X$2,Build!AC526,0),"")</f>
      </c>
      <c r="W34" s="433"/>
      <c r="X34" s="433"/>
      <c r="Y34" s="678">
        <f ca="1">IF(Build!AC526,OFFSET(Spells!Y$2,Build!AC526,0),"")</f>
      </c>
      <c r="Z34" s="678"/>
      <c r="AA34" s="678"/>
      <c r="AB34" s="678"/>
      <c r="AC34" s="678"/>
      <c r="AD34" s="433">
        <f ca="1">IF(Build!AC526,OFFSET(Spells!Z$2,Build!AC526,0),"")</f>
      </c>
      <c r="AE34" s="433"/>
      <c r="AF34" s="433"/>
      <c r="AG34" s="433"/>
      <c r="AH34" s="433"/>
      <c r="AI34" s="433">
        <f ca="1">IF(Build!AC526,OFFSET(Spells!AA$2,Build!AC526,0),"")</f>
      </c>
      <c r="AJ34" s="433"/>
      <c r="AK34" s="433"/>
      <c r="AL34" s="433"/>
      <c r="AM34" s="433"/>
      <c r="AN34" s="433"/>
      <c r="AO34" s="433">
        <f ca="1">IF(AND(Build!AC526,LEN(OFFSET(Spells!AB$2,Build!AC526,0))&lt;5),OFFSET(Spells!AB$2,Build!AC526,0),"")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IF(Build!AC526,OFFSET(Spells!AC$2,Build!AC526,0),"")</f>
      </c>
      <c r="BC34" s="433"/>
      <c r="BD34" s="433"/>
      <c r="BE34" s="433"/>
      <c r="BF34" s="433"/>
      <c r="BG34" s="621">
        <f ca="1">IF(Build!AC526,OFFSET(Spells!AD$2,Build!AC526,0),"")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IF(Build!AC527,OFFSET(Spells!V$2,Build!AC527,0),"")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IF(Build!AC527,OFFSET(Spells!W$2,Build!AC527,0),"")</f>
      </c>
      <c r="T35" s="433"/>
      <c r="U35" s="433"/>
      <c r="V35" s="433">
        <f ca="1">IF(Build!AC527,OFFSET(Spells!X$2,Build!AC527,0),"")</f>
      </c>
      <c r="W35" s="433"/>
      <c r="X35" s="433"/>
      <c r="Y35" s="678">
        <f ca="1">IF(Build!AC527,OFFSET(Spells!Y$2,Build!AC527,0),"")</f>
      </c>
      <c r="Z35" s="678"/>
      <c r="AA35" s="678"/>
      <c r="AB35" s="678"/>
      <c r="AC35" s="678"/>
      <c r="AD35" s="433">
        <f ca="1">IF(Build!AC527,OFFSET(Spells!Z$2,Build!AC527,0),"")</f>
      </c>
      <c r="AE35" s="433"/>
      <c r="AF35" s="433"/>
      <c r="AG35" s="433"/>
      <c r="AH35" s="433"/>
      <c r="AI35" s="433">
        <f ca="1">IF(Build!AC527,OFFSET(Spells!AA$2,Build!AC527,0),"")</f>
      </c>
      <c r="AJ35" s="433"/>
      <c r="AK35" s="433"/>
      <c r="AL35" s="433"/>
      <c r="AM35" s="433"/>
      <c r="AN35" s="433"/>
      <c r="AO35" s="433">
        <f ca="1">IF(AND(Build!AC527,LEN(OFFSET(Spells!AB$2,Build!AC527,0))&lt;5),OFFSET(Spells!AB$2,Build!AC527,0),"")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IF(Build!AC527,OFFSET(Spells!AC$2,Build!AC527,0),"")</f>
      </c>
      <c r="BC35" s="433"/>
      <c r="BD35" s="433"/>
      <c r="BE35" s="433"/>
      <c r="BF35" s="433"/>
      <c r="BG35" s="621">
        <f ca="1">IF(Build!AC527,OFFSET(Spells!AD$2,Build!AC527,0),"")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IF(Build!AC528,OFFSET(Spells!V$2,Build!AC528,0),"")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IF(Build!AC528,OFFSET(Spells!W$2,Build!AC528,0),"")</f>
      </c>
      <c r="T36" s="433"/>
      <c r="U36" s="433"/>
      <c r="V36" s="433">
        <f ca="1">IF(Build!AC528,OFFSET(Spells!X$2,Build!AC528,0),"")</f>
      </c>
      <c r="W36" s="433"/>
      <c r="X36" s="433"/>
      <c r="Y36" s="678">
        <f ca="1">IF(Build!AC528,OFFSET(Spells!Y$2,Build!AC528,0),"")</f>
      </c>
      <c r="Z36" s="678"/>
      <c r="AA36" s="678"/>
      <c r="AB36" s="678"/>
      <c r="AC36" s="678"/>
      <c r="AD36" s="433">
        <f ca="1">IF(Build!AC528,OFFSET(Spells!Z$2,Build!AC528,0),"")</f>
      </c>
      <c r="AE36" s="433"/>
      <c r="AF36" s="433"/>
      <c r="AG36" s="433"/>
      <c r="AH36" s="433"/>
      <c r="AI36" s="433">
        <f ca="1">IF(Build!AC528,OFFSET(Spells!AA$2,Build!AC528,0),"")</f>
      </c>
      <c r="AJ36" s="433"/>
      <c r="AK36" s="433"/>
      <c r="AL36" s="433"/>
      <c r="AM36" s="433"/>
      <c r="AN36" s="433"/>
      <c r="AO36" s="433">
        <f ca="1">IF(AND(Build!AC528,LEN(OFFSET(Spells!AB$2,Build!AC528,0))&lt;5),OFFSET(Spells!AB$2,Build!AC528,0),"")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IF(Build!AC528,OFFSET(Spells!AC$2,Build!AC528,0),"")</f>
      </c>
      <c r="BC36" s="433"/>
      <c r="BD36" s="433"/>
      <c r="BE36" s="433"/>
      <c r="BF36" s="433"/>
      <c r="BG36" s="621">
        <f ca="1">IF(Build!AC528,OFFSET(Spells!AD$2,Build!AC528,0),"")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IF(Build!AC529,OFFSET(Spells!V$2,Build!AC529,0),"")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IF(Build!AC529,OFFSET(Spells!W$2,Build!AC529,0),"")</f>
      </c>
      <c r="T37" s="433"/>
      <c r="U37" s="433"/>
      <c r="V37" s="433">
        <f ca="1">IF(Build!AC529,OFFSET(Spells!X$2,Build!AC529,0),"")</f>
      </c>
      <c r="W37" s="433"/>
      <c r="X37" s="433"/>
      <c r="Y37" s="678">
        <f ca="1">IF(Build!AC529,OFFSET(Spells!Y$2,Build!AC529,0),"")</f>
      </c>
      <c r="Z37" s="678"/>
      <c r="AA37" s="678"/>
      <c r="AB37" s="678"/>
      <c r="AC37" s="678"/>
      <c r="AD37" s="433">
        <f ca="1">IF(Build!AC529,OFFSET(Spells!Z$2,Build!AC529,0),"")</f>
      </c>
      <c r="AE37" s="433"/>
      <c r="AF37" s="433"/>
      <c r="AG37" s="433"/>
      <c r="AH37" s="433"/>
      <c r="AI37" s="433">
        <f ca="1">IF(Build!AC529,OFFSET(Spells!AA$2,Build!AC529,0),"")</f>
      </c>
      <c r="AJ37" s="433"/>
      <c r="AK37" s="433"/>
      <c r="AL37" s="433"/>
      <c r="AM37" s="433"/>
      <c r="AN37" s="433"/>
      <c r="AO37" s="433">
        <f ca="1">IF(AND(Build!AC529,LEN(OFFSET(Spells!AB$2,Build!AC529,0))&lt;5),OFFSET(Spells!AB$2,Build!AC529,0),"")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IF(Build!AC529,OFFSET(Spells!AC$2,Build!AC529,0),"")</f>
      </c>
      <c r="BC37" s="433"/>
      <c r="BD37" s="433"/>
      <c r="BE37" s="433"/>
      <c r="BF37" s="433"/>
      <c r="BG37" s="621">
        <f ca="1">IF(Build!AC529,OFFSET(Spells!AD$2,Build!AC529,0),"")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IF(Build!AC530,OFFSET(Spells!V$2,Build!AC530,0),"")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IF(Build!AC530,OFFSET(Spells!W$2,Build!AC530,0),"")</f>
      </c>
      <c r="T38" s="433"/>
      <c r="U38" s="433"/>
      <c r="V38" s="433">
        <f ca="1">IF(Build!AC530,OFFSET(Spells!X$2,Build!AC530,0),"")</f>
      </c>
      <c r="W38" s="433"/>
      <c r="X38" s="433"/>
      <c r="Y38" s="678">
        <f ca="1">IF(Build!AC530,OFFSET(Spells!Y$2,Build!AC530,0),"")</f>
      </c>
      <c r="Z38" s="678"/>
      <c r="AA38" s="678"/>
      <c r="AB38" s="678"/>
      <c r="AC38" s="678"/>
      <c r="AD38" s="433">
        <f ca="1">IF(Build!AC530,OFFSET(Spells!Z$2,Build!AC530,0),"")</f>
      </c>
      <c r="AE38" s="433"/>
      <c r="AF38" s="433"/>
      <c r="AG38" s="433"/>
      <c r="AH38" s="433"/>
      <c r="AI38" s="433">
        <f ca="1">IF(Build!AC530,OFFSET(Spells!AA$2,Build!AC530,0),"")</f>
      </c>
      <c r="AJ38" s="433"/>
      <c r="AK38" s="433"/>
      <c r="AL38" s="433"/>
      <c r="AM38" s="433"/>
      <c r="AN38" s="433"/>
      <c r="AO38" s="433">
        <f ca="1">IF(AND(Build!AC530,LEN(OFFSET(Spells!AB$2,Build!AC530,0))&lt;5),OFFSET(Spells!AB$2,Build!AC530,0),"")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IF(Build!AC530,OFFSET(Spells!AC$2,Build!AC530,0),"")</f>
      </c>
      <c r="BC38" s="433"/>
      <c r="BD38" s="433"/>
      <c r="BE38" s="433"/>
      <c r="BF38" s="433"/>
      <c r="BG38" s="621">
        <f ca="1">IF(Build!AC530,OFFSET(Spells!AD$2,Build!AC530,0),"")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IF(Build!AC531,OFFSET(Spells!V$2,Build!AC531,0),"")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IF(Build!AC531,OFFSET(Spells!W$2,Build!AC531,0),"")</f>
      </c>
      <c r="T39" s="433"/>
      <c r="U39" s="433"/>
      <c r="V39" s="433">
        <f ca="1">IF(Build!AC531,OFFSET(Spells!X$2,Build!AC531,0),"")</f>
      </c>
      <c r="W39" s="433"/>
      <c r="X39" s="433"/>
      <c r="Y39" s="678">
        <f ca="1">IF(Build!AC531,OFFSET(Spells!Y$2,Build!AC531,0),"")</f>
      </c>
      <c r="Z39" s="678"/>
      <c r="AA39" s="678"/>
      <c r="AB39" s="678"/>
      <c r="AC39" s="678"/>
      <c r="AD39" s="433">
        <f ca="1">IF(Build!AC531,OFFSET(Spells!Z$2,Build!AC531,0),"")</f>
      </c>
      <c r="AE39" s="433"/>
      <c r="AF39" s="433"/>
      <c r="AG39" s="433"/>
      <c r="AH39" s="433"/>
      <c r="AI39" s="433">
        <f ca="1">IF(Build!AC531,OFFSET(Spells!AA$2,Build!AC531,0),"")</f>
      </c>
      <c r="AJ39" s="433"/>
      <c r="AK39" s="433"/>
      <c r="AL39" s="433"/>
      <c r="AM39" s="433"/>
      <c r="AN39" s="433"/>
      <c r="AO39" s="433">
        <f ca="1">IF(AND(Build!AC531,LEN(OFFSET(Spells!AB$2,Build!AC531,0))&lt;5),OFFSET(Spells!AB$2,Build!AC531,0),"")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IF(Build!AC531,OFFSET(Spells!AC$2,Build!AC531,0),"")</f>
      </c>
      <c r="BC39" s="433"/>
      <c r="BD39" s="433"/>
      <c r="BE39" s="433"/>
      <c r="BF39" s="433"/>
      <c r="BG39" s="621">
        <f ca="1">IF(Build!AC531,OFFSET(Spells!AD$2,Build!AC531,0),"")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IF(Build!AC532,OFFSET(Spells!V$2,Build!AC532,0),"")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IF(Build!AC532,OFFSET(Spells!W$2,Build!AC532,0),"")</f>
      </c>
      <c r="T40" s="433"/>
      <c r="U40" s="433"/>
      <c r="V40" s="433">
        <f ca="1">IF(Build!AC532,OFFSET(Spells!X$2,Build!AC532,0),"")</f>
      </c>
      <c r="W40" s="433"/>
      <c r="X40" s="433"/>
      <c r="Y40" s="678">
        <f ca="1">IF(Build!AC532,OFFSET(Spells!Y$2,Build!AC532,0),"")</f>
      </c>
      <c r="Z40" s="678"/>
      <c r="AA40" s="678"/>
      <c r="AB40" s="678"/>
      <c r="AC40" s="678"/>
      <c r="AD40" s="433">
        <f ca="1">IF(Build!AC532,OFFSET(Spells!Z$2,Build!AC532,0),"")</f>
      </c>
      <c r="AE40" s="433"/>
      <c r="AF40" s="433"/>
      <c r="AG40" s="433"/>
      <c r="AH40" s="433"/>
      <c r="AI40" s="433">
        <f ca="1">IF(Build!AC532,OFFSET(Spells!AA$2,Build!AC532,0),"")</f>
      </c>
      <c r="AJ40" s="433"/>
      <c r="AK40" s="433"/>
      <c r="AL40" s="433"/>
      <c r="AM40" s="433"/>
      <c r="AN40" s="433"/>
      <c r="AO40" s="433">
        <f ca="1">IF(AND(Build!AC532,LEN(OFFSET(Spells!AB$2,Build!AC532,0))&lt;5),OFFSET(Spells!AB$2,Build!AC532,0),"")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IF(Build!AC532,OFFSET(Spells!AC$2,Build!AC532,0),"")</f>
      </c>
      <c r="BC40" s="433"/>
      <c r="BD40" s="433"/>
      <c r="BE40" s="433"/>
      <c r="BF40" s="433"/>
      <c r="BG40" s="621">
        <f ca="1">IF(Build!AC532,OFFSET(Spells!AD$2,Build!AC532,0),"")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IF(Build!AC533,OFFSET(Spells!V$2,Build!AC533,0),"")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IF(Build!AC533,OFFSET(Spells!W$2,Build!AC533,0),"")</f>
      </c>
      <c r="T41" s="433"/>
      <c r="U41" s="433"/>
      <c r="V41" s="433">
        <f ca="1">IF(Build!AC533,OFFSET(Spells!X$2,Build!AC533,0),"")</f>
      </c>
      <c r="W41" s="433"/>
      <c r="X41" s="433"/>
      <c r="Y41" s="678">
        <f ca="1">IF(Build!AC533,OFFSET(Spells!Y$2,Build!AC533,0),"")</f>
      </c>
      <c r="Z41" s="678"/>
      <c r="AA41" s="678"/>
      <c r="AB41" s="678"/>
      <c r="AC41" s="678"/>
      <c r="AD41" s="433">
        <f ca="1">IF(Build!AC533,OFFSET(Spells!Z$2,Build!AC533,0),"")</f>
      </c>
      <c r="AE41" s="433"/>
      <c r="AF41" s="433"/>
      <c r="AG41" s="433"/>
      <c r="AH41" s="433"/>
      <c r="AI41" s="433">
        <f ca="1">IF(Build!AC533,OFFSET(Spells!AA$2,Build!AC533,0),"")</f>
      </c>
      <c r="AJ41" s="433"/>
      <c r="AK41" s="433"/>
      <c r="AL41" s="433"/>
      <c r="AM41" s="433"/>
      <c r="AN41" s="433"/>
      <c r="AO41" s="433">
        <f ca="1">IF(AND(Build!AC533,LEN(OFFSET(Spells!AB$2,Build!AC533,0))&lt;5),OFFSET(Spells!AB$2,Build!AC533,0),"")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IF(Build!AC533,OFFSET(Spells!AC$2,Build!AC533,0),"")</f>
      </c>
      <c r="BC41" s="433"/>
      <c r="BD41" s="433"/>
      <c r="BE41" s="433"/>
      <c r="BF41" s="433"/>
      <c r="BG41" s="621">
        <f ca="1">IF(Build!AC533,OFFSET(Spells!AD$2,Build!AC533,0),"")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>
      <c r="A42" s="675"/>
      <c r="B42" s="433"/>
      <c r="C42" s="433"/>
      <c r="D42" s="603">
        <f ca="1">IF(Build!AC534,OFFSET(Spells!V$2,Build!AC534,0),"")</f>
      </c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433">
        <f ca="1">IF(Build!AC534,OFFSET(Spells!W$2,Build!AC534,0),"")</f>
      </c>
      <c r="T42" s="433"/>
      <c r="U42" s="433"/>
      <c r="V42" s="433">
        <f ca="1">IF(Build!AC534,OFFSET(Spells!X$2,Build!AC534,0),"")</f>
      </c>
      <c r="W42" s="433"/>
      <c r="X42" s="433"/>
      <c r="Y42" s="678">
        <f ca="1">IF(Build!AC534,OFFSET(Spells!Y$2,Build!AC534,0),"")</f>
      </c>
      <c r="Z42" s="678"/>
      <c r="AA42" s="678"/>
      <c r="AB42" s="678"/>
      <c r="AC42" s="678"/>
      <c r="AD42" s="433">
        <f ca="1">IF(Build!AC534,OFFSET(Spells!Z$2,Build!AC534,0),"")</f>
      </c>
      <c r="AE42" s="433"/>
      <c r="AF42" s="433"/>
      <c r="AG42" s="433"/>
      <c r="AH42" s="433"/>
      <c r="AI42" s="433">
        <f ca="1">IF(Build!AC534,OFFSET(Spells!AA$2,Build!AC534,0),"")</f>
      </c>
      <c r="AJ42" s="433"/>
      <c r="AK42" s="433"/>
      <c r="AL42" s="433"/>
      <c r="AM42" s="433"/>
      <c r="AN42" s="433"/>
      <c r="AO42" s="433">
        <f ca="1">IF(AND(Build!AC534,LEN(OFFSET(Spells!AB$2,Build!AC534,0))&lt;5),OFFSET(Spells!AB$2,Build!AC534,0),"")</f>
      </c>
      <c r="AP42" s="433"/>
      <c r="AQ42" s="433"/>
      <c r="AR42" s="148">
        <f t="shared" si="0"/>
      </c>
      <c r="AS42" s="433">
        <f>IF(AO42&lt;&gt;"",VLOOKUP(LEFT(AO42,FIND("+",AO42&amp;"+")-1),Build!X$480:Y$486,2,0)+IF(LEN(AO42)&gt;2,MID(AO42,FIND("+",AO42&amp;"+")+1,2),0),"")</f>
      </c>
      <c r="AT42" s="433"/>
      <c r="AU42" s="433">
        <f ca="1" t="shared" si="1"/>
      </c>
      <c r="AV42" s="433"/>
      <c r="AW42" s="433"/>
      <c r="AX42" s="433"/>
      <c r="AY42" s="433"/>
      <c r="AZ42" s="433"/>
      <c r="BA42" s="433"/>
      <c r="BB42" s="433">
        <f ca="1">IF(Build!AC534,OFFSET(Spells!AC$2,Build!AC534,0),"")</f>
      </c>
      <c r="BC42" s="433"/>
      <c r="BD42" s="433"/>
      <c r="BE42" s="433"/>
      <c r="BF42" s="433"/>
      <c r="BG42" s="621">
        <f ca="1">IF(Build!AC534,OFFSET(Spells!AD$2,Build!AC534,0),"")</f>
      </c>
      <c r="BH42" s="621"/>
      <c r="BI42" s="621"/>
      <c r="BJ42" s="621"/>
      <c r="BK42" s="621"/>
      <c r="BL42" s="621"/>
      <c r="BM42" s="621"/>
      <c r="BN42" s="621"/>
      <c r="BO42" s="621"/>
      <c r="BP42" s="621"/>
      <c r="BQ42" s="621"/>
      <c r="BR42" s="621"/>
      <c r="BS42" s="621"/>
      <c r="BT42" s="621"/>
      <c r="BU42" s="621"/>
      <c r="BV42" s="621"/>
      <c r="BW42" s="621"/>
      <c r="BX42" s="621"/>
      <c r="BY42" s="621"/>
      <c r="BZ42" s="621"/>
      <c r="CA42" s="621"/>
      <c r="CB42" s="621"/>
      <c r="CC42" s="621"/>
      <c r="CD42" s="621"/>
      <c r="CE42" s="621"/>
      <c r="CF42" s="676"/>
    </row>
  </sheetData>
  <mergeCells count="457">
    <mergeCell ref="BB42:BF42"/>
    <mergeCell ref="BG42:CF42"/>
    <mergeCell ref="V41:X41"/>
    <mergeCell ref="Y41:AC41"/>
    <mergeCell ref="AO41:AQ41"/>
    <mergeCell ref="AS41:AT41"/>
    <mergeCell ref="AD41:AH41"/>
    <mergeCell ref="AI41:AN41"/>
    <mergeCell ref="AD42:AH42"/>
    <mergeCell ref="AI42:AN42"/>
    <mergeCell ref="AS39:AT39"/>
    <mergeCell ref="V40:X40"/>
    <mergeCell ref="Y40:AC40"/>
    <mergeCell ref="AO40:AQ40"/>
    <mergeCell ref="AS40:AT40"/>
    <mergeCell ref="AD40:AH40"/>
    <mergeCell ref="AI40:AN40"/>
    <mergeCell ref="V37:X37"/>
    <mergeCell ref="V39:X39"/>
    <mergeCell ref="Y39:AC39"/>
    <mergeCell ref="AO39:AQ39"/>
    <mergeCell ref="V38:X38"/>
    <mergeCell ref="Y38:AC38"/>
    <mergeCell ref="AO38:AQ38"/>
    <mergeCell ref="AD39:AH39"/>
    <mergeCell ref="AI39:AN39"/>
    <mergeCell ref="AS38:AT38"/>
    <mergeCell ref="Y37:AC37"/>
    <mergeCell ref="AO37:AQ37"/>
    <mergeCell ref="AS37:AT37"/>
    <mergeCell ref="AD37:AH37"/>
    <mergeCell ref="AI37:AN37"/>
    <mergeCell ref="AD38:AH38"/>
    <mergeCell ref="AI38:AN38"/>
    <mergeCell ref="V36:X36"/>
    <mergeCell ref="Y36:AC36"/>
    <mergeCell ref="AO36:AQ36"/>
    <mergeCell ref="AS36:AT36"/>
    <mergeCell ref="AD36:AH36"/>
    <mergeCell ref="AI36:AN36"/>
    <mergeCell ref="V35:X35"/>
    <mergeCell ref="Y35:AC35"/>
    <mergeCell ref="AO35:AQ35"/>
    <mergeCell ref="AS35:AT35"/>
    <mergeCell ref="AD35:AH35"/>
    <mergeCell ref="AI35:AN35"/>
    <mergeCell ref="V34:X34"/>
    <mergeCell ref="Y34:AC34"/>
    <mergeCell ref="AO34:AQ34"/>
    <mergeCell ref="AS34:AT34"/>
    <mergeCell ref="AD34:AH34"/>
    <mergeCell ref="AI34:AN34"/>
    <mergeCell ref="V33:X33"/>
    <mergeCell ref="Y33:AC33"/>
    <mergeCell ref="AO33:AQ33"/>
    <mergeCell ref="AS33:AT33"/>
    <mergeCell ref="AD33:AH33"/>
    <mergeCell ref="AI33:AN33"/>
    <mergeCell ref="V32:X32"/>
    <mergeCell ref="Y32:AC32"/>
    <mergeCell ref="AO32:AQ32"/>
    <mergeCell ref="AS32:AT32"/>
    <mergeCell ref="AD32:AH32"/>
    <mergeCell ref="AI32:AN32"/>
    <mergeCell ref="V31:X31"/>
    <mergeCell ref="Y31:AC31"/>
    <mergeCell ref="AO31:AQ31"/>
    <mergeCell ref="AS31:AT31"/>
    <mergeCell ref="BB29:BF29"/>
    <mergeCell ref="BG29:CF29"/>
    <mergeCell ref="V30:X30"/>
    <mergeCell ref="Y30:AC30"/>
    <mergeCell ref="AO30:AQ30"/>
    <mergeCell ref="AS30:AT30"/>
    <mergeCell ref="AU30:BA30"/>
    <mergeCell ref="BB30:BF30"/>
    <mergeCell ref="BG30:CF30"/>
    <mergeCell ref="V29:X29"/>
    <mergeCell ref="Y29:AC29"/>
    <mergeCell ref="AO29:AQ29"/>
    <mergeCell ref="AS29:AT29"/>
    <mergeCell ref="V28:X28"/>
    <mergeCell ref="Y28:AC28"/>
    <mergeCell ref="AO28:AQ28"/>
    <mergeCell ref="AS28:AT28"/>
    <mergeCell ref="AD29:AH29"/>
    <mergeCell ref="AI29:AN29"/>
    <mergeCell ref="AD28:AH28"/>
    <mergeCell ref="V27:X27"/>
    <mergeCell ref="Y27:AC27"/>
    <mergeCell ref="AO27:AQ27"/>
    <mergeCell ref="AS27:AT27"/>
    <mergeCell ref="AD27:AH27"/>
    <mergeCell ref="AI27:AN27"/>
    <mergeCell ref="V26:X26"/>
    <mergeCell ref="Y26:AC26"/>
    <mergeCell ref="AO26:AQ26"/>
    <mergeCell ref="AS26:AT26"/>
    <mergeCell ref="AD26:AH26"/>
    <mergeCell ref="AI26:AN26"/>
    <mergeCell ref="V25:X25"/>
    <mergeCell ref="Y25:AC25"/>
    <mergeCell ref="AO25:AQ25"/>
    <mergeCell ref="AS25:AT25"/>
    <mergeCell ref="AD25:AH25"/>
    <mergeCell ref="AI25:AN25"/>
    <mergeCell ref="V24:X24"/>
    <mergeCell ref="Y24:AC24"/>
    <mergeCell ref="AO24:AQ24"/>
    <mergeCell ref="AS24:AT24"/>
    <mergeCell ref="AD24:AH24"/>
    <mergeCell ref="AI24:AN24"/>
    <mergeCell ref="V23:X23"/>
    <mergeCell ref="Y23:AC23"/>
    <mergeCell ref="AO23:AQ23"/>
    <mergeCell ref="AS23:AT23"/>
    <mergeCell ref="BB21:BF21"/>
    <mergeCell ref="BG21:CF21"/>
    <mergeCell ref="V22:X22"/>
    <mergeCell ref="Y22:AC22"/>
    <mergeCell ref="AO22:AQ22"/>
    <mergeCell ref="AS22:AT22"/>
    <mergeCell ref="AU22:BA22"/>
    <mergeCell ref="BB22:BF22"/>
    <mergeCell ref="BG22:CF22"/>
    <mergeCell ref="V21:X21"/>
    <mergeCell ref="Y21:AC21"/>
    <mergeCell ref="AO21:AQ21"/>
    <mergeCell ref="AS21:AT21"/>
    <mergeCell ref="V20:X20"/>
    <mergeCell ref="Y20:AC20"/>
    <mergeCell ref="AO20:AQ20"/>
    <mergeCell ref="AS20:AT20"/>
    <mergeCell ref="AD21:AH21"/>
    <mergeCell ref="AI21:AN21"/>
    <mergeCell ref="AD20:AH20"/>
    <mergeCell ref="V19:X19"/>
    <mergeCell ref="Y19:AC19"/>
    <mergeCell ref="AO19:AQ19"/>
    <mergeCell ref="AS19:AT19"/>
    <mergeCell ref="AD19:AH19"/>
    <mergeCell ref="AI19:AN19"/>
    <mergeCell ref="V18:X18"/>
    <mergeCell ref="Y18:AC18"/>
    <mergeCell ref="AO18:AQ18"/>
    <mergeCell ref="AS18:AT18"/>
    <mergeCell ref="AD18:AH18"/>
    <mergeCell ref="AI18:AN18"/>
    <mergeCell ref="V17:X17"/>
    <mergeCell ref="Y17:AC17"/>
    <mergeCell ref="AO17:AQ17"/>
    <mergeCell ref="AS17:AT17"/>
    <mergeCell ref="AD17:AH17"/>
    <mergeCell ref="AI17:AN17"/>
    <mergeCell ref="V16:X16"/>
    <mergeCell ref="Y16:AC16"/>
    <mergeCell ref="AO16:AQ16"/>
    <mergeCell ref="AS16:AT16"/>
    <mergeCell ref="AD16:AH16"/>
    <mergeCell ref="AI16:AN16"/>
    <mergeCell ref="V15:X15"/>
    <mergeCell ref="Y15:AC15"/>
    <mergeCell ref="AO15:AQ15"/>
    <mergeCell ref="AS15:AT15"/>
    <mergeCell ref="BB13:BF13"/>
    <mergeCell ref="BG13:CF13"/>
    <mergeCell ref="V14:X14"/>
    <mergeCell ref="Y14:AC14"/>
    <mergeCell ref="AO14:AQ14"/>
    <mergeCell ref="AS14:AT14"/>
    <mergeCell ref="AU14:BA14"/>
    <mergeCell ref="BB14:BF14"/>
    <mergeCell ref="BG14:CF14"/>
    <mergeCell ref="V13:X13"/>
    <mergeCell ref="Y13:AC13"/>
    <mergeCell ref="AO13:AQ13"/>
    <mergeCell ref="AS13:AT13"/>
    <mergeCell ref="V12:X12"/>
    <mergeCell ref="Y12:AC12"/>
    <mergeCell ref="AO12:AQ12"/>
    <mergeCell ref="AS12:AT12"/>
    <mergeCell ref="AD13:AH13"/>
    <mergeCell ref="AI13:AN13"/>
    <mergeCell ref="AD12:AH12"/>
    <mergeCell ref="V10:X10"/>
    <mergeCell ref="Y10:AC10"/>
    <mergeCell ref="AS10:AT10"/>
    <mergeCell ref="V11:X11"/>
    <mergeCell ref="Y11:AC11"/>
    <mergeCell ref="AO11:AQ11"/>
    <mergeCell ref="AS11:AT11"/>
    <mergeCell ref="AO8:AQ8"/>
    <mergeCell ref="AS8:AT8"/>
    <mergeCell ref="A1:AP5"/>
    <mergeCell ref="V6:X6"/>
    <mergeCell ref="Y6:AC6"/>
    <mergeCell ref="AD6:AH6"/>
    <mergeCell ref="AO6:AQ6"/>
    <mergeCell ref="AI6:AN6"/>
    <mergeCell ref="AI8:AN8"/>
    <mergeCell ref="AD8:AH8"/>
    <mergeCell ref="CA2:CF2"/>
    <mergeCell ref="CA3:CF3"/>
    <mergeCell ref="CA4:CF4"/>
    <mergeCell ref="BY3:BZ3"/>
    <mergeCell ref="BY2:BZ2"/>
    <mergeCell ref="BV3:BW3"/>
    <mergeCell ref="BY4:BZ4"/>
    <mergeCell ref="BS4:BT4"/>
    <mergeCell ref="BV4:BW4"/>
    <mergeCell ref="A6:C6"/>
    <mergeCell ref="AS6:AT6"/>
    <mergeCell ref="BS2:BT2"/>
    <mergeCell ref="BV2:BW2"/>
    <mergeCell ref="AU6:BA6"/>
    <mergeCell ref="BB6:BF6"/>
    <mergeCell ref="BG6:CF6"/>
    <mergeCell ref="S6:U6"/>
    <mergeCell ref="D6:R6"/>
    <mergeCell ref="BS3:BT3"/>
    <mergeCell ref="D7:R7"/>
    <mergeCell ref="S7:U7"/>
    <mergeCell ref="V7:X7"/>
    <mergeCell ref="BG7:CF7"/>
    <mergeCell ref="Y7:AC7"/>
    <mergeCell ref="AO7:AQ7"/>
    <mergeCell ref="AS7:AT7"/>
    <mergeCell ref="AI7:AN7"/>
    <mergeCell ref="AD7:AH7"/>
    <mergeCell ref="D8:R8"/>
    <mergeCell ref="D9:R9"/>
    <mergeCell ref="D10:R10"/>
    <mergeCell ref="D11:R11"/>
    <mergeCell ref="D12:R12"/>
    <mergeCell ref="D13:R13"/>
    <mergeCell ref="D14:R14"/>
    <mergeCell ref="D15:R15"/>
    <mergeCell ref="D16:R16"/>
    <mergeCell ref="D17:R17"/>
    <mergeCell ref="D18:R18"/>
    <mergeCell ref="D19:R19"/>
    <mergeCell ref="D20:R20"/>
    <mergeCell ref="D21:R21"/>
    <mergeCell ref="D22:R22"/>
    <mergeCell ref="D30:R30"/>
    <mergeCell ref="D23:R23"/>
    <mergeCell ref="D24:R24"/>
    <mergeCell ref="D25:R25"/>
    <mergeCell ref="D26:R26"/>
    <mergeCell ref="D41:R41"/>
    <mergeCell ref="D42:R42"/>
    <mergeCell ref="D35:R35"/>
    <mergeCell ref="D36:R36"/>
    <mergeCell ref="D37:R37"/>
    <mergeCell ref="D38:R38"/>
    <mergeCell ref="S10:U10"/>
    <mergeCell ref="D39:R39"/>
    <mergeCell ref="D40:R40"/>
    <mergeCell ref="D31:R31"/>
    <mergeCell ref="D32:R32"/>
    <mergeCell ref="D33:R33"/>
    <mergeCell ref="D34:R34"/>
    <mergeCell ref="D27:R27"/>
    <mergeCell ref="D28:R28"/>
    <mergeCell ref="D29:R29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S37:U37"/>
    <mergeCell ref="S38:U38"/>
    <mergeCell ref="S39:U39"/>
    <mergeCell ref="S40:U40"/>
    <mergeCell ref="S41:U41"/>
    <mergeCell ref="S42:U42"/>
    <mergeCell ref="S8:U8"/>
    <mergeCell ref="AI9:AN9"/>
    <mergeCell ref="AD9:AH9"/>
    <mergeCell ref="V9:X9"/>
    <mergeCell ref="Y9:AC9"/>
    <mergeCell ref="S9:U9"/>
    <mergeCell ref="V8:X8"/>
    <mergeCell ref="Y8:AC8"/>
    <mergeCell ref="AO9:AQ9"/>
    <mergeCell ref="AD11:AH11"/>
    <mergeCell ref="AI11:AN11"/>
    <mergeCell ref="AD10:AH10"/>
    <mergeCell ref="AI10:AN10"/>
    <mergeCell ref="AO10:AQ10"/>
    <mergeCell ref="AI12:AN12"/>
    <mergeCell ref="AD15:AH15"/>
    <mergeCell ref="AI15:AN15"/>
    <mergeCell ref="AD14:AH14"/>
    <mergeCell ref="AI14:AN14"/>
    <mergeCell ref="AI20:AN20"/>
    <mergeCell ref="AD23:AH23"/>
    <mergeCell ref="AI23:AN23"/>
    <mergeCell ref="AD22:AH22"/>
    <mergeCell ref="AI22:AN22"/>
    <mergeCell ref="AI28:AN28"/>
    <mergeCell ref="AD31:AH31"/>
    <mergeCell ref="AI31:AN31"/>
    <mergeCell ref="AD30:AH30"/>
    <mergeCell ref="AI30:AN30"/>
    <mergeCell ref="V42:X42"/>
    <mergeCell ref="Y42:AC42"/>
    <mergeCell ref="AO42:AQ42"/>
    <mergeCell ref="AU7:BA7"/>
    <mergeCell ref="AU8:BA8"/>
    <mergeCell ref="AS9:AT9"/>
    <mergeCell ref="AU9:BA9"/>
    <mergeCell ref="AU10:BA10"/>
    <mergeCell ref="AU11:BA11"/>
    <mergeCell ref="AU12:BA12"/>
    <mergeCell ref="AU13:BA13"/>
    <mergeCell ref="AU15:BA15"/>
    <mergeCell ref="AU16:BA16"/>
    <mergeCell ref="AU17:BA17"/>
    <mergeCell ref="AU18:BA18"/>
    <mergeCell ref="AU19:BA19"/>
    <mergeCell ref="AU20:BA20"/>
    <mergeCell ref="AU21:BA21"/>
    <mergeCell ref="AU23:BA23"/>
    <mergeCell ref="AU24:BA24"/>
    <mergeCell ref="AU25:BA25"/>
    <mergeCell ref="AU26:BA26"/>
    <mergeCell ref="AU27:BA27"/>
    <mergeCell ref="AU28:BA28"/>
    <mergeCell ref="AU29:BA29"/>
    <mergeCell ref="AU31:BA31"/>
    <mergeCell ref="AU32:BA32"/>
    <mergeCell ref="AU33:BA33"/>
    <mergeCell ref="AU34:BA34"/>
    <mergeCell ref="AU35:BA35"/>
    <mergeCell ref="AU36:BA36"/>
    <mergeCell ref="AU37:BA37"/>
    <mergeCell ref="AU39:BA39"/>
    <mergeCell ref="AU40:BA40"/>
    <mergeCell ref="AU38:BA38"/>
    <mergeCell ref="AU41:BA41"/>
    <mergeCell ref="AS42:AT42"/>
    <mergeCell ref="AU42:BA42"/>
    <mergeCell ref="BB7:BF7"/>
    <mergeCell ref="BB10:BF10"/>
    <mergeCell ref="BB15:BF15"/>
    <mergeCell ref="BB18:BF18"/>
    <mergeCell ref="BB23:BF23"/>
    <mergeCell ref="BB26:BF26"/>
    <mergeCell ref="BB31:BF31"/>
    <mergeCell ref="BB8:BF8"/>
    <mergeCell ref="BG8:CF8"/>
    <mergeCell ref="BB9:BF9"/>
    <mergeCell ref="BG9:CF9"/>
    <mergeCell ref="BG10:CF10"/>
    <mergeCell ref="BB11:BF11"/>
    <mergeCell ref="BG11:CF11"/>
    <mergeCell ref="BB12:BF12"/>
    <mergeCell ref="BG12:CF12"/>
    <mergeCell ref="BG15:CF15"/>
    <mergeCell ref="BB16:BF16"/>
    <mergeCell ref="BG16:CF16"/>
    <mergeCell ref="BB17:BF17"/>
    <mergeCell ref="BG17:CF17"/>
    <mergeCell ref="BG18:CF18"/>
    <mergeCell ref="BB19:BF19"/>
    <mergeCell ref="BG19:CF19"/>
    <mergeCell ref="BB20:BF20"/>
    <mergeCell ref="BG20:CF20"/>
    <mergeCell ref="BG23:CF23"/>
    <mergeCell ref="BB24:BF24"/>
    <mergeCell ref="BG24:CF24"/>
    <mergeCell ref="BB25:BF25"/>
    <mergeCell ref="BG25:CF25"/>
    <mergeCell ref="BG26:CF26"/>
    <mergeCell ref="BB27:BF27"/>
    <mergeCell ref="BG27:CF27"/>
    <mergeCell ref="BB28:BF28"/>
    <mergeCell ref="BG28:CF28"/>
    <mergeCell ref="BG31:CF31"/>
    <mergeCell ref="BB32:BF32"/>
    <mergeCell ref="BG32:CF32"/>
    <mergeCell ref="BB33:BF33"/>
    <mergeCell ref="BG33:CF33"/>
    <mergeCell ref="BB34:BF34"/>
    <mergeCell ref="BG34:CF34"/>
    <mergeCell ref="BB35:BF35"/>
    <mergeCell ref="BG35:CF35"/>
    <mergeCell ref="BB36:BF36"/>
    <mergeCell ref="BG36:CF36"/>
    <mergeCell ref="BB39:BF39"/>
    <mergeCell ref="BG39:CF39"/>
    <mergeCell ref="BB37:BF37"/>
    <mergeCell ref="BG37:CF37"/>
    <mergeCell ref="BB38:BF38"/>
    <mergeCell ref="BG38:CF38"/>
    <mergeCell ref="BB40:BF40"/>
    <mergeCell ref="BG40:CF40"/>
    <mergeCell ref="BB41:BF41"/>
    <mergeCell ref="BG41:CF4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9:C29"/>
    <mergeCell ref="A30:C30"/>
    <mergeCell ref="A23:C23"/>
    <mergeCell ref="A24:C24"/>
    <mergeCell ref="A25:C25"/>
    <mergeCell ref="A26:C26"/>
    <mergeCell ref="A27:C27"/>
    <mergeCell ref="A28:C28"/>
    <mergeCell ref="A42:C42"/>
    <mergeCell ref="A35:C35"/>
    <mergeCell ref="A36:C36"/>
    <mergeCell ref="A37:C37"/>
    <mergeCell ref="A38:C38"/>
    <mergeCell ref="A39:C39"/>
    <mergeCell ref="A40:C40"/>
    <mergeCell ref="A41:C41"/>
    <mergeCell ref="A31:C31"/>
    <mergeCell ref="A32:C32"/>
    <mergeCell ref="A33:C33"/>
    <mergeCell ref="A34:C34"/>
  </mergeCells>
  <printOptions/>
  <pageMargins left="0" right="0" top="0.393700787401575" bottom="0.393700787401575" header="0.118110236220472" footer="0.118110236220472"/>
  <pageSetup orientation="landscape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/>
  <dimension ref="A1:EC42"/>
  <sheetViews>
    <sheetView view="pageBreakPreview" zoomScale="60" zoomScaleNormal="75" workbookViewId="0" topLeftCell="A1">
      <selection activeCell="BS4" sqref="BS4:BT4"/>
    </sheetView>
  </sheetViews>
  <sheetFormatPr defaultColWidth="9.33203125" defaultRowHeight="12.75" customHeight="1"/>
  <cols>
    <col min="1" max="16384" width="1.83203125" style="1" customWidth="1"/>
  </cols>
  <sheetData>
    <row r="1" spans="1:133" ht="12.75" customHeight="1">
      <c r="A1" s="680" t="s">
        <v>1123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293"/>
      <c r="AR1" s="330">
        <f ca="1">IF(Build!BN499,OFFSET(Build!BP$498,Build!BN499,0),"")</f>
      </c>
      <c r="AS1" s="331"/>
      <c r="AT1" s="235"/>
      <c r="AU1" s="235"/>
      <c r="AV1" s="235"/>
      <c r="AW1" s="235"/>
      <c r="AX1" s="235"/>
      <c r="AY1" s="235"/>
      <c r="AZ1" s="235"/>
      <c r="BA1" s="338">
        <f ca="1">IF(Build!BN503,OFFSET(Build!BP$498,Build!BN503,0),"")</f>
      </c>
      <c r="BB1" s="235"/>
      <c r="BC1" s="235"/>
      <c r="BD1" s="235"/>
      <c r="BE1" s="235"/>
      <c r="BF1" s="235"/>
      <c r="BG1" s="235"/>
      <c r="BH1" s="235"/>
      <c r="BI1" s="332"/>
      <c r="BK1" s="221" t="s">
        <v>2540</v>
      </c>
      <c r="BL1" s="342"/>
      <c r="BM1" s="342"/>
      <c r="BN1" s="342"/>
      <c r="BO1" s="342"/>
      <c r="BP1" s="342"/>
      <c r="BQ1" s="342"/>
      <c r="BR1" s="342"/>
      <c r="BS1" s="31" t="s">
        <v>2419</v>
      </c>
      <c r="BT1" s="30"/>
      <c r="BU1" s="31" t="s">
        <v>2420</v>
      </c>
      <c r="BV1" s="30"/>
      <c r="BW1" s="30"/>
      <c r="BX1" s="30"/>
      <c r="BY1" s="31" t="s">
        <v>2388</v>
      </c>
      <c r="BZ1" s="30"/>
      <c r="CA1" s="31" t="s">
        <v>2421</v>
      </c>
      <c r="CB1" s="203"/>
      <c r="CC1" s="30"/>
      <c r="CD1" s="30"/>
      <c r="CE1" s="203"/>
      <c r="CF1" s="199"/>
      <c r="CG1" s="41"/>
      <c r="CH1" s="41"/>
      <c r="CI1" s="41"/>
      <c r="CJ1" s="41"/>
      <c r="CK1" s="41"/>
      <c r="CL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</row>
    <row r="2" spans="1:133" ht="12.7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293"/>
      <c r="AR2" s="333">
        <f ca="1">IF(Build!BN500,OFFSET(Build!BP$498,Build!BN500,0),"")</f>
      </c>
      <c r="AS2" s="6"/>
      <c r="AT2" s="124"/>
      <c r="AU2" s="124"/>
      <c r="AV2" s="124"/>
      <c r="AW2" s="124"/>
      <c r="AX2" s="124"/>
      <c r="AY2" s="124"/>
      <c r="AZ2" s="124"/>
      <c r="BA2" s="339">
        <f ca="1">IF(Build!BN504,OFFSET(Build!BP$498,Build!BN504,0),"")</f>
      </c>
      <c r="BB2" s="124"/>
      <c r="BC2" s="124"/>
      <c r="BD2" s="124"/>
      <c r="BE2" s="124"/>
      <c r="BF2" s="124"/>
      <c r="BG2" s="124"/>
      <c r="BH2" s="124"/>
      <c r="BI2" s="334"/>
      <c r="BK2" s="23" t="s">
        <v>2443</v>
      </c>
      <c r="BL2" s="19"/>
      <c r="BM2" s="19"/>
      <c r="BN2" s="19"/>
      <c r="BO2" s="19"/>
      <c r="BP2" s="19"/>
      <c r="BQ2" s="19"/>
      <c r="BR2" s="19"/>
      <c r="BS2" s="433" t="e">
        <f>Build!V484</f>
        <v>#N/A</v>
      </c>
      <c r="BT2" s="433"/>
      <c r="BU2" s="32" t="s">
        <v>2495</v>
      </c>
      <c r="BV2" s="433" t="e">
        <f>PerStep</f>
        <v>#N/A</v>
      </c>
      <c r="BW2" s="433"/>
      <c r="BX2" s="32" t="s">
        <v>2496</v>
      </c>
      <c r="BY2" s="433" t="e">
        <f>Build!W484</f>
        <v>#N/A</v>
      </c>
      <c r="BZ2" s="433"/>
      <c r="CA2" s="433" t="e">
        <f ca="1">OFFSET(ActionDice,BY2,0)</f>
        <v>#N/A</v>
      </c>
      <c r="CB2" s="433"/>
      <c r="CC2" s="433"/>
      <c r="CD2" s="433"/>
      <c r="CE2" s="433"/>
      <c r="CF2" s="434"/>
      <c r="CG2" s="41"/>
      <c r="CH2" s="41"/>
      <c r="CI2" s="41"/>
      <c r="CJ2" s="41"/>
      <c r="CK2" s="41"/>
      <c r="CL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2.75" customHeight="1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0"/>
      <c r="AP3" s="680"/>
      <c r="AQ3" s="293"/>
      <c r="AR3" s="333">
        <f ca="1">IF(Build!BN501,OFFSET(Build!BP$498,Build!BN501,0),"")</f>
      </c>
      <c r="AS3" s="6"/>
      <c r="AT3" s="124"/>
      <c r="AU3" s="124"/>
      <c r="AV3" s="124"/>
      <c r="AW3" s="124"/>
      <c r="AX3" s="124"/>
      <c r="AY3" s="124"/>
      <c r="AZ3" s="124"/>
      <c r="BA3" s="339">
        <f ca="1">IF(Build!BN505,OFFSET(Build!BP$498,Build!BN505,0),"")</f>
      </c>
      <c r="BB3" s="124"/>
      <c r="BC3" s="124"/>
      <c r="BD3" s="124"/>
      <c r="BE3" s="124"/>
      <c r="BF3" s="124"/>
      <c r="BG3" s="124"/>
      <c r="BH3" s="124"/>
      <c r="BI3" s="334"/>
      <c r="BK3" s="23" t="s">
        <v>2444</v>
      </c>
      <c r="BL3" s="19"/>
      <c r="BM3" s="19"/>
      <c r="BN3" s="19"/>
      <c r="BO3" s="19"/>
      <c r="BP3" s="19"/>
      <c r="BQ3" s="19"/>
      <c r="BR3" s="19"/>
      <c r="BS3" s="433" t="e">
        <f>Build!V485</f>
        <v>#N/A</v>
      </c>
      <c r="BT3" s="433"/>
      <c r="BU3" s="32" t="s">
        <v>2495</v>
      </c>
      <c r="BV3" s="433" t="e">
        <f>PerStep</f>
        <v>#N/A</v>
      </c>
      <c r="BW3" s="433"/>
      <c r="BX3" s="32" t="s">
        <v>2496</v>
      </c>
      <c r="BY3" s="433" t="e">
        <f>Build!W485</f>
        <v>#N/A</v>
      </c>
      <c r="BZ3" s="433"/>
      <c r="CA3" s="433" t="e">
        <f ca="1">OFFSET(ActionDice,BY3,0)</f>
        <v>#N/A</v>
      </c>
      <c r="CB3" s="433"/>
      <c r="CC3" s="433"/>
      <c r="CD3" s="433"/>
      <c r="CE3" s="433"/>
      <c r="CF3" s="434"/>
      <c r="CG3" s="41"/>
      <c r="CH3" s="41"/>
      <c r="CI3" s="41"/>
      <c r="CJ3" s="41"/>
      <c r="CK3" s="41"/>
      <c r="CL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</row>
    <row r="4" spans="1:131" ht="12.75" customHeight="1" thickBot="1">
      <c r="A4" s="680"/>
      <c r="B4" s="680"/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293"/>
      <c r="AR4" s="335">
        <f ca="1">IF(Build!BN502,OFFSET(Build!BP$498,Build!BN502,0),"")</f>
      </c>
      <c r="AS4" s="12"/>
      <c r="AT4" s="336"/>
      <c r="AU4" s="336"/>
      <c r="AV4" s="336"/>
      <c r="AW4" s="336"/>
      <c r="AX4" s="336"/>
      <c r="AY4" s="336"/>
      <c r="AZ4" s="336"/>
      <c r="BA4" s="340">
        <f ca="1">IF(Build!BN506,OFFSET(Build!BP$498,Build!BN506,0),"")</f>
      </c>
      <c r="BB4" s="336"/>
      <c r="BC4" s="336"/>
      <c r="BD4" s="336"/>
      <c r="BE4" s="336"/>
      <c r="BF4" s="336"/>
      <c r="BG4" s="336"/>
      <c r="BH4" s="336"/>
      <c r="BI4" s="337"/>
      <c r="BK4" s="14" t="s">
        <v>2445</v>
      </c>
      <c r="BL4" s="12"/>
      <c r="BM4" s="12"/>
      <c r="BN4" s="12"/>
      <c r="BO4" s="12"/>
      <c r="BP4" s="12"/>
      <c r="BQ4" s="12"/>
      <c r="BR4" s="12"/>
      <c r="BS4" s="578">
        <f>IF(ISERROR(Build!V486),0,Build!V486)</f>
        <v>0</v>
      </c>
      <c r="BT4" s="578"/>
      <c r="BU4" s="33" t="s">
        <v>2495</v>
      </c>
      <c r="BV4" s="578" t="e">
        <f>WilStep</f>
        <v>#N/A</v>
      </c>
      <c r="BW4" s="578"/>
      <c r="BX4" s="33" t="s">
        <v>2496</v>
      </c>
      <c r="BY4" s="578" t="e">
        <f>Build!W486</f>
        <v>#N/A</v>
      </c>
      <c r="BZ4" s="578"/>
      <c r="CA4" s="578" t="e">
        <f ca="1">OFFSET(ActionDice,BY4,0)</f>
        <v>#N/A</v>
      </c>
      <c r="CB4" s="578"/>
      <c r="CC4" s="578"/>
      <c r="CD4" s="578"/>
      <c r="CE4" s="578"/>
      <c r="CF4" s="580"/>
      <c r="CG4" s="41"/>
      <c r="CH4" s="41"/>
      <c r="CI4" s="41"/>
      <c r="CJ4" s="41"/>
      <c r="CK4" s="41"/>
      <c r="CL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</row>
    <row r="5" spans="1:131" ht="12.75" customHeight="1" thickBot="1">
      <c r="A5" s="681"/>
      <c r="B5" s="681"/>
      <c r="C5" s="681"/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41"/>
      <c r="BK5" s="41"/>
      <c r="BR5" s="172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</row>
    <row r="6" spans="1:84" ht="12.75" customHeight="1">
      <c r="A6" s="666" t="s">
        <v>2541</v>
      </c>
      <c r="B6" s="576"/>
      <c r="C6" s="576"/>
      <c r="D6" s="679" t="s">
        <v>2542</v>
      </c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576" t="s">
        <v>2447</v>
      </c>
      <c r="T6" s="576"/>
      <c r="U6" s="576"/>
      <c r="V6" s="576" t="s">
        <v>2448</v>
      </c>
      <c r="W6" s="576"/>
      <c r="X6" s="576"/>
      <c r="Y6" s="576" t="s">
        <v>856</v>
      </c>
      <c r="Z6" s="576"/>
      <c r="AA6" s="576"/>
      <c r="AB6" s="576"/>
      <c r="AC6" s="576"/>
      <c r="AD6" s="576" t="s">
        <v>2543</v>
      </c>
      <c r="AE6" s="576"/>
      <c r="AF6" s="576"/>
      <c r="AG6" s="576"/>
      <c r="AH6" s="576"/>
      <c r="AI6" s="576" t="s">
        <v>2406</v>
      </c>
      <c r="AJ6" s="576"/>
      <c r="AK6" s="576"/>
      <c r="AL6" s="576"/>
      <c r="AM6" s="576"/>
      <c r="AN6" s="576"/>
      <c r="AO6" s="576" t="s">
        <v>2450</v>
      </c>
      <c r="AP6" s="576"/>
      <c r="AQ6" s="576"/>
      <c r="AR6" s="118"/>
      <c r="AS6" s="576" t="s">
        <v>2388</v>
      </c>
      <c r="AT6" s="576"/>
      <c r="AU6" s="576" t="s">
        <v>2389</v>
      </c>
      <c r="AV6" s="576"/>
      <c r="AW6" s="576"/>
      <c r="AX6" s="576"/>
      <c r="AY6" s="576"/>
      <c r="AZ6" s="576"/>
      <c r="BA6" s="576"/>
      <c r="BB6" s="576" t="s">
        <v>2449</v>
      </c>
      <c r="BC6" s="576"/>
      <c r="BD6" s="576"/>
      <c r="BE6" s="576"/>
      <c r="BF6" s="576"/>
      <c r="BG6" s="652" t="s">
        <v>2544</v>
      </c>
      <c r="BH6" s="652"/>
      <c r="BI6" s="652"/>
      <c r="BJ6" s="652"/>
      <c r="BK6" s="652"/>
      <c r="BL6" s="652"/>
      <c r="BM6" s="652"/>
      <c r="BN6" s="652"/>
      <c r="BO6" s="652"/>
      <c r="BP6" s="652"/>
      <c r="BQ6" s="652"/>
      <c r="BR6" s="652"/>
      <c r="BS6" s="652"/>
      <c r="BT6" s="652"/>
      <c r="BU6" s="652"/>
      <c r="BV6" s="652"/>
      <c r="BW6" s="652"/>
      <c r="BX6" s="652"/>
      <c r="BY6" s="652"/>
      <c r="BZ6" s="652"/>
      <c r="CA6" s="652"/>
      <c r="CB6" s="652"/>
      <c r="CC6" s="652"/>
      <c r="CD6" s="652"/>
      <c r="CE6" s="652"/>
      <c r="CF6" s="653"/>
    </row>
    <row r="7" spans="1:84" ht="12.75" customHeight="1">
      <c r="A7" s="675"/>
      <c r="B7" s="433"/>
      <c r="C7" s="433"/>
      <c r="D7" s="603">
        <f ca="1">IF(Build!AD499,OFFSET(Spells!AF$2,Build!AD499,0),"")</f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433">
        <f ca="1">IF(Build!AD499,OFFSET(Spells!AG$2,Build!AD499,0),"")</f>
      </c>
      <c r="T7" s="433"/>
      <c r="U7" s="433"/>
      <c r="V7" s="433">
        <f ca="1">IF(Build!AD499,OFFSET(Spells!AH$2,Build!AD499,0),"")</f>
      </c>
      <c r="W7" s="433"/>
      <c r="X7" s="433"/>
      <c r="Y7" s="678">
        <f ca="1">IF(Build!AD499,OFFSET(Spells!AI$2,Build!AD499,0),"")</f>
      </c>
      <c r="Z7" s="678"/>
      <c r="AA7" s="678"/>
      <c r="AB7" s="678"/>
      <c r="AC7" s="678"/>
      <c r="AD7" s="433">
        <f ca="1">IF(Build!AD499,OFFSET(Spells!AJ$2,Build!AD499,0),"")</f>
      </c>
      <c r="AE7" s="433"/>
      <c r="AF7" s="433"/>
      <c r="AG7" s="433"/>
      <c r="AH7" s="433"/>
      <c r="AI7" s="433">
        <f ca="1">IF(Build!AD499,OFFSET(Spells!AK$2,Build!AD499,0),"")</f>
      </c>
      <c r="AJ7" s="433"/>
      <c r="AK7" s="433"/>
      <c r="AL7" s="433"/>
      <c r="AM7" s="433"/>
      <c r="AN7" s="433"/>
      <c r="AO7" s="433">
        <f ca="1">IF(AND(Build!AD499,LEN(OFFSET(Spells!AL$2,Build!AD499,0))&lt;5),OFFSET(Spells!AL$2,Build!AD499,0),"")</f>
      </c>
      <c r="AP7" s="433"/>
      <c r="AQ7" s="433"/>
      <c r="AR7" s="148">
        <f>IF(AO7="","","=")</f>
      </c>
      <c r="AS7" s="433">
        <f>IF(AO7&lt;&gt;"",VLOOKUP(LEFT(AO7,FIND("+",AO7&amp;"+")-1),Build!X$480:Y$486,2,0)+IF(LEN(AO7)&gt;2,MID(AO7,FIND("+",AO7&amp;"+")+1,2),0),"")</f>
      </c>
      <c r="AT7" s="433"/>
      <c r="AU7" s="433">
        <f ca="1">IF(AS7&lt;&gt;"",OFFSET(ActionDice,AS7,0),"")</f>
      </c>
      <c r="AV7" s="433"/>
      <c r="AW7" s="433"/>
      <c r="AX7" s="433"/>
      <c r="AY7" s="433"/>
      <c r="AZ7" s="433"/>
      <c r="BA7" s="433"/>
      <c r="BB7" s="433">
        <f ca="1">IF(Build!AD499,OFFSET(Spells!AM$2,Build!AD499,0),"")</f>
      </c>
      <c r="BC7" s="433"/>
      <c r="BD7" s="433"/>
      <c r="BE7" s="433"/>
      <c r="BF7" s="433"/>
      <c r="BG7" s="621">
        <f ca="1">IF(Build!AD499,OFFSET(Spells!AN$2,Build!AD499,0),"")</f>
      </c>
      <c r="BH7" s="621"/>
      <c r="BI7" s="621"/>
      <c r="BJ7" s="621"/>
      <c r="BK7" s="621"/>
      <c r="BL7" s="621"/>
      <c r="BM7" s="621"/>
      <c r="BN7" s="621"/>
      <c r="BO7" s="621"/>
      <c r="BP7" s="621"/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76"/>
    </row>
    <row r="8" spans="1:84" ht="12.75" customHeight="1">
      <c r="A8" s="675"/>
      <c r="B8" s="433"/>
      <c r="C8" s="433"/>
      <c r="D8" s="603">
        <f ca="1">IF(Build!AD500,OFFSET(Spells!AF$2,Build!AD500,0),"")</f>
      </c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433">
        <f ca="1">IF(Build!AD500,OFFSET(Spells!AG$2,Build!AD500,0),"")</f>
      </c>
      <c r="T8" s="433"/>
      <c r="U8" s="433"/>
      <c r="V8" s="433">
        <f ca="1">IF(Build!AD500,OFFSET(Spells!AH$2,Build!AD500,0),"")</f>
      </c>
      <c r="W8" s="433"/>
      <c r="X8" s="433"/>
      <c r="Y8" s="678">
        <f ca="1">IF(Build!AD500,OFFSET(Spells!AI$2,Build!AD500,0),"")</f>
      </c>
      <c r="Z8" s="678"/>
      <c r="AA8" s="678"/>
      <c r="AB8" s="678"/>
      <c r="AC8" s="678"/>
      <c r="AD8" s="433">
        <f ca="1">IF(Build!AD500,OFFSET(Spells!AJ$2,Build!AD500,0),"")</f>
      </c>
      <c r="AE8" s="433"/>
      <c r="AF8" s="433"/>
      <c r="AG8" s="433"/>
      <c r="AH8" s="433"/>
      <c r="AI8" s="433">
        <f ca="1">IF(Build!AD500,OFFSET(Spells!AK$2,Build!AD500,0),"")</f>
      </c>
      <c r="AJ8" s="433"/>
      <c r="AK8" s="433"/>
      <c r="AL8" s="433"/>
      <c r="AM8" s="433"/>
      <c r="AN8" s="433"/>
      <c r="AO8" s="433">
        <f ca="1">IF(AND(Build!AD500,LEN(OFFSET(Spells!AL$2,Build!AD500,0))&lt;5),OFFSET(Spells!AL$2,Build!AD500,0),"")</f>
      </c>
      <c r="AP8" s="433"/>
      <c r="AQ8" s="433"/>
      <c r="AR8" s="148">
        <f aca="true" t="shared" si="0" ref="AR8:AR42">IF(AO8="","","=")</f>
      </c>
      <c r="AS8" s="433">
        <f>IF(AO8&lt;&gt;"",VLOOKUP(LEFT(AO8,FIND("+",AO8&amp;"+")-1),Build!X$480:Y$486,2,0)+IF(LEN(AO8)&gt;2,MID(AO8,FIND("+",AO8&amp;"+")+1,2),0),"")</f>
      </c>
      <c r="AT8" s="433"/>
      <c r="AU8" s="433">
        <f aca="true" ca="1" t="shared" si="1" ref="AU8:AU42">IF(AS8&lt;&gt;"",OFFSET(ActionDice,AS8,0),"")</f>
      </c>
      <c r="AV8" s="433"/>
      <c r="AW8" s="433"/>
      <c r="AX8" s="433"/>
      <c r="AY8" s="433"/>
      <c r="AZ8" s="433"/>
      <c r="BA8" s="433"/>
      <c r="BB8" s="433">
        <f ca="1">IF(Build!AD500,OFFSET(Spells!AM$2,Build!AD500,0),"")</f>
      </c>
      <c r="BC8" s="433"/>
      <c r="BD8" s="433"/>
      <c r="BE8" s="433"/>
      <c r="BF8" s="433"/>
      <c r="BG8" s="621">
        <f ca="1">IF(Build!AD500,OFFSET(Spells!AN$2,Build!AD500,0),"")</f>
      </c>
      <c r="BH8" s="621"/>
      <c r="BI8" s="621"/>
      <c r="BJ8" s="621"/>
      <c r="BK8" s="621"/>
      <c r="BL8" s="621"/>
      <c r="BM8" s="621"/>
      <c r="BN8" s="621"/>
      <c r="BO8" s="621"/>
      <c r="BP8" s="621"/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76"/>
    </row>
    <row r="9" spans="1:84" ht="12.75" customHeight="1">
      <c r="A9" s="675"/>
      <c r="B9" s="433"/>
      <c r="C9" s="433"/>
      <c r="D9" s="603">
        <f ca="1">IF(Build!AD501,OFFSET(Spells!AF$2,Build!AD501,0),"")</f>
      </c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433">
        <f ca="1">IF(Build!AD501,OFFSET(Spells!AG$2,Build!AD501,0),"")</f>
      </c>
      <c r="T9" s="433"/>
      <c r="U9" s="433"/>
      <c r="V9" s="433">
        <f ca="1">IF(Build!AD501,OFFSET(Spells!AH$2,Build!AD501,0),"")</f>
      </c>
      <c r="W9" s="433"/>
      <c r="X9" s="433"/>
      <c r="Y9" s="678">
        <f ca="1">IF(Build!AD501,OFFSET(Spells!AI$2,Build!AD501,0),"")</f>
      </c>
      <c r="Z9" s="678"/>
      <c r="AA9" s="678"/>
      <c r="AB9" s="678"/>
      <c r="AC9" s="678"/>
      <c r="AD9" s="433">
        <f ca="1">IF(Build!AD501,OFFSET(Spells!AJ$2,Build!AD501,0),"")</f>
      </c>
      <c r="AE9" s="433"/>
      <c r="AF9" s="433"/>
      <c r="AG9" s="433"/>
      <c r="AH9" s="433"/>
      <c r="AI9" s="433">
        <f ca="1">IF(Build!AD501,OFFSET(Spells!AK$2,Build!AD501,0),"")</f>
      </c>
      <c r="AJ9" s="433"/>
      <c r="AK9" s="433"/>
      <c r="AL9" s="433"/>
      <c r="AM9" s="433"/>
      <c r="AN9" s="433"/>
      <c r="AO9" s="433">
        <f ca="1">IF(AND(Build!AD501,LEN(OFFSET(Spells!AL$2,Build!AD501,0))&lt;5),OFFSET(Spells!AL$2,Build!AD501,0),"")</f>
      </c>
      <c r="AP9" s="433"/>
      <c r="AQ9" s="433"/>
      <c r="AR9" s="148">
        <f t="shared" si="0"/>
      </c>
      <c r="AS9" s="433">
        <f>IF(AO9&lt;&gt;"",VLOOKUP(LEFT(AO9,FIND("+",AO9&amp;"+")-1),Build!X$480:Y$486,2,0)+IF(LEN(AO9)&gt;2,MID(AO9,FIND("+",AO9&amp;"+")+1,2),0),"")</f>
      </c>
      <c r="AT9" s="433"/>
      <c r="AU9" s="433">
        <f ca="1" t="shared" si="1"/>
      </c>
      <c r="AV9" s="433"/>
      <c r="AW9" s="433"/>
      <c r="AX9" s="433"/>
      <c r="AY9" s="433"/>
      <c r="AZ9" s="433"/>
      <c r="BA9" s="433"/>
      <c r="BB9" s="433">
        <f ca="1">IF(Build!AD501,OFFSET(Spells!AM$2,Build!AD501,0),"")</f>
      </c>
      <c r="BC9" s="433"/>
      <c r="BD9" s="433"/>
      <c r="BE9" s="433"/>
      <c r="BF9" s="433"/>
      <c r="BG9" s="621">
        <f ca="1">IF(Build!AD501,OFFSET(Spells!AN$2,Build!AD501,0),"")</f>
      </c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76"/>
    </row>
    <row r="10" spans="1:84" ht="12.75" customHeight="1">
      <c r="A10" s="675"/>
      <c r="B10" s="433"/>
      <c r="C10" s="433"/>
      <c r="D10" s="603">
        <f ca="1">IF(Build!AD502,OFFSET(Spells!AF$2,Build!AD502,0),"")</f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433">
        <f ca="1">IF(Build!AD502,OFFSET(Spells!AG$2,Build!AD502,0),"")</f>
      </c>
      <c r="T10" s="433"/>
      <c r="U10" s="433"/>
      <c r="V10" s="433">
        <f ca="1">IF(Build!AD502,OFFSET(Spells!AH$2,Build!AD502,0),"")</f>
      </c>
      <c r="W10" s="433"/>
      <c r="X10" s="433"/>
      <c r="Y10" s="678">
        <f ca="1">IF(Build!AD502,OFFSET(Spells!AI$2,Build!AD502,0),"")</f>
      </c>
      <c r="Z10" s="678"/>
      <c r="AA10" s="678"/>
      <c r="AB10" s="678"/>
      <c r="AC10" s="678"/>
      <c r="AD10" s="433">
        <f ca="1">IF(Build!AD502,OFFSET(Spells!AJ$2,Build!AD502,0),"")</f>
      </c>
      <c r="AE10" s="433"/>
      <c r="AF10" s="433"/>
      <c r="AG10" s="433"/>
      <c r="AH10" s="433"/>
      <c r="AI10" s="433">
        <f ca="1">IF(Build!AD502,OFFSET(Spells!AK$2,Build!AD502,0),"")</f>
      </c>
      <c r="AJ10" s="433"/>
      <c r="AK10" s="433"/>
      <c r="AL10" s="433"/>
      <c r="AM10" s="433"/>
      <c r="AN10" s="433"/>
      <c r="AO10" s="433">
        <f ca="1">IF(AND(Build!AD502,LEN(OFFSET(Spells!AL$2,Build!AD502,0))&lt;5),OFFSET(Spells!AL$2,Build!AD502,0),"")</f>
      </c>
      <c r="AP10" s="433"/>
      <c r="AQ10" s="433"/>
      <c r="AR10" s="148">
        <f t="shared" si="0"/>
      </c>
      <c r="AS10" s="433">
        <f>IF(AO10&lt;&gt;"",VLOOKUP(LEFT(AO10,FIND("+",AO10&amp;"+")-1),Build!X$480:Y$486,2,0)+IF(LEN(AO10)&gt;2,MID(AO10,FIND("+",AO10&amp;"+")+1,2),0),"")</f>
      </c>
      <c r="AT10" s="433"/>
      <c r="AU10" s="433">
        <f ca="1" t="shared" si="1"/>
      </c>
      <c r="AV10" s="433"/>
      <c r="AW10" s="433"/>
      <c r="AX10" s="433"/>
      <c r="AY10" s="433"/>
      <c r="AZ10" s="433"/>
      <c r="BA10" s="433"/>
      <c r="BB10" s="433">
        <f ca="1">IF(Build!AD502,OFFSET(Spells!AM$2,Build!AD502,0),"")</f>
      </c>
      <c r="BC10" s="433"/>
      <c r="BD10" s="433"/>
      <c r="BE10" s="433"/>
      <c r="BF10" s="433"/>
      <c r="BG10" s="621">
        <f ca="1">IF(Build!AD502,OFFSET(Spells!AN$2,Build!AD502,0),"")</f>
      </c>
      <c r="BH10" s="621"/>
      <c r="BI10" s="621"/>
      <c r="BJ10" s="621"/>
      <c r="BK10" s="621"/>
      <c r="BL10" s="621"/>
      <c r="BM10" s="621"/>
      <c r="BN10" s="621"/>
      <c r="BO10" s="621"/>
      <c r="BP10" s="621"/>
      <c r="BQ10" s="621"/>
      <c r="BR10" s="621"/>
      <c r="BS10" s="621"/>
      <c r="BT10" s="621"/>
      <c r="BU10" s="621"/>
      <c r="BV10" s="621"/>
      <c r="BW10" s="621"/>
      <c r="BX10" s="621"/>
      <c r="BY10" s="621"/>
      <c r="BZ10" s="621"/>
      <c r="CA10" s="621"/>
      <c r="CB10" s="621"/>
      <c r="CC10" s="621"/>
      <c r="CD10" s="621"/>
      <c r="CE10" s="621"/>
      <c r="CF10" s="676"/>
    </row>
    <row r="11" spans="1:84" ht="12.75" customHeight="1">
      <c r="A11" s="675"/>
      <c r="B11" s="433"/>
      <c r="C11" s="433"/>
      <c r="D11" s="603">
        <f ca="1">IF(Build!AD503,OFFSET(Spells!AF$2,Build!AD503,0),"")</f>
      </c>
      <c r="E11" s="603"/>
      <c r="F11" s="603"/>
      <c r="G11" s="603"/>
      <c r="H11" s="603"/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433">
        <f ca="1">IF(Build!AD503,OFFSET(Spells!AG$2,Build!AD503,0),"")</f>
      </c>
      <c r="T11" s="433"/>
      <c r="U11" s="433"/>
      <c r="V11" s="433">
        <f ca="1">IF(Build!AD503,OFFSET(Spells!AH$2,Build!AD503,0),"")</f>
      </c>
      <c r="W11" s="433"/>
      <c r="X11" s="433"/>
      <c r="Y11" s="678">
        <f ca="1">IF(Build!AD503,OFFSET(Spells!AI$2,Build!AD503,0),"")</f>
      </c>
      <c r="Z11" s="678"/>
      <c r="AA11" s="678"/>
      <c r="AB11" s="678"/>
      <c r="AC11" s="678"/>
      <c r="AD11" s="433">
        <f ca="1">IF(Build!AD503,OFFSET(Spells!AJ$2,Build!AD503,0),"")</f>
      </c>
      <c r="AE11" s="433"/>
      <c r="AF11" s="433"/>
      <c r="AG11" s="433"/>
      <c r="AH11" s="433"/>
      <c r="AI11" s="433">
        <f ca="1">IF(Build!AD503,OFFSET(Spells!AK$2,Build!AD503,0),"")</f>
      </c>
      <c r="AJ11" s="433"/>
      <c r="AK11" s="433"/>
      <c r="AL11" s="433"/>
      <c r="AM11" s="433"/>
      <c r="AN11" s="433"/>
      <c r="AO11" s="433">
        <f ca="1">IF(AND(Build!AD503,LEN(OFFSET(Spells!AL$2,Build!AD503,0))&lt;5),OFFSET(Spells!AL$2,Build!AD503,0),"")</f>
      </c>
      <c r="AP11" s="433"/>
      <c r="AQ11" s="433"/>
      <c r="AR11" s="148">
        <f t="shared" si="0"/>
      </c>
      <c r="AS11" s="433">
        <f>IF(AO11&lt;&gt;"",VLOOKUP(LEFT(AO11,FIND("+",AO11&amp;"+")-1),Build!X$480:Y$486,2,0)+IF(LEN(AO11)&gt;2,MID(AO11,FIND("+",AO11&amp;"+")+1,2),0),"")</f>
      </c>
      <c r="AT11" s="433"/>
      <c r="AU11" s="433">
        <f ca="1" t="shared" si="1"/>
      </c>
      <c r="AV11" s="433"/>
      <c r="AW11" s="433"/>
      <c r="AX11" s="433"/>
      <c r="AY11" s="433"/>
      <c r="AZ11" s="433"/>
      <c r="BA11" s="433"/>
      <c r="BB11" s="433">
        <f ca="1">IF(Build!AD503,OFFSET(Spells!AM$2,Build!AD503,0),"")</f>
      </c>
      <c r="BC11" s="433"/>
      <c r="BD11" s="433"/>
      <c r="BE11" s="433"/>
      <c r="BF11" s="433"/>
      <c r="BG11" s="621">
        <f ca="1">IF(Build!AD503,OFFSET(Spells!AN$2,Build!AD503,0),"")</f>
      </c>
      <c r="BH11" s="621"/>
      <c r="BI11" s="621"/>
      <c r="BJ11" s="621"/>
      <c r="BK11" s="621"/>
      <c r="BL11" s="621"/>
      <c r="BM11" s="621"/>
      <c r="BN11" s="621"/>
      <c r="BO11" s="621"/>
      <c r="BP11" s="621"/>
      <c r="BQ11" s="621"/>
      <c r="BR11" s="621"/>
      <c r="BS11" s="621"/>
      <c r="BT11" s="621"/>
      <c r="BU11" s="621"/>
      <c r="BV11" s="621"/>
      <c r="BW11" s="621"/>
      <c r="BX11" s="621"/>
      <c r="BY11" s="621"/>
      <c r="BZ11" s="621"/>
      <c r="CA11" s="621"/>
      <c r="CB11" s="621"/>
      <c r="CC11" s="621"/>
      <c r="CD11" s="621"/>
      <c r="CE11" s="621"/>
      <c r="CF11" s="676"/>
    </row>
    <row r="12" spans="1:84" ht="12.75" customHeight="1">
      <c r="A12" s="675"/>
      <c r="B12" s="433"/>
      <c r="C12" s="433"/>
      <c r="D12" s="603">
        <f ca="1">IF(Build!AD504,OFFSET(Spells!AF$2,Build!AD504,0),"")</f>
      </c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433">
        <f ca="1">IF(Build!AD504,OFFSET(Spells!AG$2,Build!AD504,0),"")</f>
      </c>
      <c r="T12" s="433"/>
      <c r="U12" s="433"/>
      <c r="V12" s="433">
        <f ca="1">IF(Build!AD504,OFFSET(Spells!AH$2,Build!AD504,0),"")</f>
      </c>
      <c r="W12" s="433"/>
      <c r="X12" s="433"/>
      <c r="Y12" s="678">
        <f ca="1">IF(Build!AD504,OFFSET(Spells!AI$2,Build!AD504,0),"")</f>
      </c>
      <c r="Z12" s="678"/>
      <c r="AA12" s="678"/>
      <c r="AB12" s="678"/>
      <c r="AC12" s="678"/>
      <c r="AD12" s="433">
        <f ca="1">IF(Build!AD504,OFFSET(Spells!AJ$2,Build!AD504,0),"")</f>
      </c>
      <c r="AE12" s="433"/>
      <c r="AF12" s="433"/>
      <c r="AG12" s="433"/>
      <c r="AH12" s="433"/>
      <c r="AI12" s="433">
        <f ca="1">IF(Build!AD504,OFFSET(Spells!AK$2,Build!AD504,0),"")</f>
      </c>
      <c r="AJ12" s="433"/>
      <c r="AK12" s="433"/>
      <c r="AL12" s="433"/>
      <c r="AM12" s="433"/>
      <c r="AN12" s="433"/>
      <c r="AO12" s="433">
        <f ca="1">IF(AND(Build!AD504,LEN(OFFSET(Spells!AL$2,Build!AD504,0))&lt;5),OFFSET(Spells!AL$2,Build!AD504,0),"")</f>
      </c>
      <c r="AP12" s="433"/>
      <c r="AQ12" s="433"/>
      <c r="AR12" s="148">
        <f t="shared" si="0"/>
      </c>
      <c r="AS12" s="433">
        <f>IF(AO12&lt;&gt;"",VLOOKUP(LEFT(AO12,FIND("+",AO12&amp;"+")-1),Build!X$480:Y$486,2,0)+IF(LEN(AO12)&gt;2,MID(AO12,FIND("+",AO12&amp;"+")+1,2),0),"")</f>
      </c>
      <c r="AT12" s="433"/>
      <c r="AU12" s="433">
        <f ca="1" t="shared" si="1"/>
      </c>
      <c r="AV12" s="433"/>
      <c r="AW12" s="433"/>
      <c r="AX12" s="433"/>
      <c r="AY12" s="433"/>
      <c r="AZ12" s="433"/>
      <c r="BA12" s="433"/>
      <c r="BB12" s="433">
        <f ca="1">IF(Build!AD504,OFFSET(Spells!AM$2,Build!AD504,0),"")</f>
      </c>
      <c r="BC12" s="433"/>
      <c r="BD12" s="433"/>
      <c r="BE12" s="433"/>
      <c r="BF12" s="433"/>
      <c r="BG12" s="621">
        <f ca="1">IF(Build!AD504,OFFSET(Spells!AN$2,Build!AD504,0),"")</f>
      </c>
      <c r="BH12" s="621"/>
      <c r="BI12" s="621"/>
      <c r="BJ12" s="621"/>
      <c r="BK12" s="621"/>
      <c r="BL12" s="621"/>
      <c r="BM12" s="621"/>
      <c r="BN12" s="621"/>
      <c r="BO12" s="621"/>
      <c r="BP12" s="621"/>
      <c r="BQ12" s="621"/>
      <c r="BR12" s="621"/>
      <c r="BS12" s="621"/>
      <c r="BT12" s="621"/>
      <c r="BU12" s="621"/>
      <c r="BV12" s="621"/>
      <c r="BW12" s="621"/>
      <c r="BX12" s="621"/>
      <c r="BY12" s="621"/>
      <c r="BZ12" s="621"/>
      <c r="CA12" s="621"/>
      <c r="CB12" s="621"/>
      <c r="CC12" s="621"/>
      <c r="CD12" s="621"/>
      <c r="CE12" s="621"/>
      <c r="CF12" s="676"/>
    </row>
    <row r="13" spans="1:84" ht="12.75" customHeight="1">
      <c r="A13" s="675"/>
      <c r="B13" s="433"/>
      <c r="C13" s="433"/>
      <c r="D13" s="603">
        <f ca="1">IF(Build!AD505,OFFSET(Spells!AF$2,Build!AD505,0),"")</f>
      </c>
      <c r="E13" s="603"/>
      <c r="F13" s="603"/>
      <c r="G13" s="603"/>
      <c r="H13" s="603"/>
      <c r="I13" s="603"/>
      <c r="J13" s="603"/>
      <c r="K13" s="603"/>
      <c r="L13" s="603"/>
      <c r="M13" s="603"/>
      <c r="N13" s="603"/>
      <c r="O13" s="603"/>
      <c r="P13" s="603"/>
      <c r="Q13" s="603"/>
      <c r="R13" s="603"/>
      <c r="S13" s="433">
        <f ca="1">IF(Build!AD505,OFFSET(Spells!AG$2,Build!AD505,0),"")</f>
      </c>
      <c r="T13" s="433"/>
      <c r="U13" s="433"/>
      <c r="V13" s="433">
        <f ca="1">IF(Build!AD505,OFFSET(Spells!AH$2,Build!AD505,0),"")</f>
      </c>
      <c r="W13" s="433"/>
      <c r="X13" s="433"/>
      <c r="Y13" s="678">
        <f ca="1">IF(Build!AD505,OFFSET(Spells!AI$2,Build!AD505,0),"")</f>
      </c>
      <c r="Z13" s="678"/>
      <c r="AA13" s="678"/>
      <c r="AB13" s="678"/>
      <c r="AC13" s="678"/>
      <c r="AD13" s="433">
        <f ca="1">IF(Build!AD505,OFFSET(Spells!AJ$2,Build!AD505,0),"")</f>
      </c>
      <c r="AE13" s="433"/>
      <c r="AF13" s="433"/>
      <c r="AG13" s="433"/>
      <c r="AH13" s="433"/>
      <c r="AI13" s="433">
        <f ca="1">IF(Build!AD505,OFFSET(Spells!AK$2,Build!AD505,0),"")</f>
      </c>
      <c r="AJ13" s="433"/>
      <c r="AK13" s="433"/>
      <c r="AL13" s="433"/>
      <c r="AM13" s="433"/>
      <c r="AN13" s="433"/>
      <c r="AO13" s="433">
        <f ca="1">IF(AND(Build!AD505,LEN(OFFSET(Spells!AL$2,Build!AD505,0))&lt;5),OFFSET(Spells!AL$2,Build!AD505,0),"")</f>
      </c>
      <c r="AP13" s="433"/>
      <c r="AQ13" s="433"/>
      <c r="AR13" s="148">
        <f t="shared" si="0"/>
      </c>
      <c r="AS13" s="433">
        <f>IF(AO13&lt;&gt;"",VLOOKUP(LEFT(AO13,FIND("+",AO13&amp;"+")-1),Build!X$480:Y$486,2,0)+IF(LEN(AO13)&gt;2,MID(AO13,FIND("+",AO13&amp;"+")+1,2),0),"")</f>
      </c>
      <c r="AT13" s="433"/>
      <c r="AU13" s="433">
        <f ca="1" t="shared" si="1"/>
      </c>
      <c r="AV13" s="433"/>
      <c r="AW13" s="433"/>
      <c r="AX13" s="433"/>
      <c r="AY13" s="433"/>
      <c r="AZ13" s="433"/>
      <c r="BA13" s="433"/>
      <c r="BB13" s="433">
        <f ca="1">IF(Build!AD505,OFFSET(Spells!AM$2,Build!AD505,0),"")</f>
      </c>
      <c r="BC13" s="433"/>
      <c r="BD13" s="433"/>
      <c r="BE13" s="433"/>
      <c r="BF13" s="433"/>
      <c r="BG13" s="621">
        <f ca="1">IF(Build!AD505,OFFSET(Spells!AN$2,Build!AD505,0),"")</f>
      </c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76"/>
    </row>
    <row r="14" spans="1:84" ht="12.75" customHeight="1">
      <c r="A14" s="675"/>
      <c r="B14" s="433"/>
      <c r="C14" s="433"/>
      <c r="D14" s="603">
        <f ca="1">IF(Build!AD506,OFFSET(Spells!AF$2,Build!AD506,0),"")</f>
      </c>
      <c r="E14" s="603"/>
      <c r="F14" s="603"/>
      <c r="G14" s="603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433">
        <f ca="1">IF(Build!AD506,OFFSET(Spells!AG$2,Build!AD506,0),"")</f>
      </c>
      <c r="T14" s="433"/>
      <c r="U14" s="433"/>
      <c r="V14" s="433">
        <f ca="1">IF(Build!AD506,OFFSET(Spells!AH$2,Build!AD506,0),"")</f>
      </c>
      <c r="W14" s="433"/>
      <c r="X14" s="433"/>
      <c r="Y14" s="678">
        <f ca="1">IF(Build!AD506,OFFSET(Spells!AI$2,Build!AD506,0),"")</f>
      </c>
      <c r="Z14" s="678"/>
      <c r="AA14" s="678"/>
      <c r="AB14" s="678"/>
      <c r="AC14" s="678"/>
      <c r="AD14" s="433">
        <f ca="1">IF(Build!AD506,OFFSET(Spells!AJ$2,Build!AD506,0),"")</f>
      </c>
      <c r="AE14" s="433"/>
      <c r="AF14" s="433"/>
      <c r="AG14" s="433"/>
      <c r="AH14" s="433"/>
      <c r="AI14" s="433">
        <f ca="1">IF(Build!AD506,OFFSET(Spells!AK$2,Build!AD506,0),"")</f>
      </c>
      <c r="AJ14" s="433"/>
      <c r="AK14" s="433"/>
      <c r="AL14" s="433"/>
      <c r="AM14" s="433"/>
      <c r="AN14" s="433"/>
      <c r="AO14" s="433">
        <f ca="1">IF(AND(Build!AD506,LEN(OFFSET(Spells!AL$2,Build!AD506,0))&lt;5),OFFSET(Spells!AL$2,Build!AD506,0),"")</f>
      </c>
      <c r="AP14" s="433"/>
      <c r="AQ14" s="433"/>
      <c r="AR14" s="148">
        <f t="shared" si="0"/>
      </c>
      <c r="AS14" s="433">
        <f>IF(AO14&lt;&gt;"",VLOOKUP(LEFT(AO14,FIND("+",AO14&amp;"+")-1),Build!X$480:Y$486,2,0)+IF(LEN(AO14)&gt;2,MID(AO14,FIND("+",AO14&amp;"+")+1,2),0),"")</f>
      </c>
      <c r="AT14" s="433"/>
      <c r="AU14" s="433">
        <f ca="1" t="shared" si="1"/>
      </c>
      <c r="AV14" s="433"/>
      <c r="AW14" s="433"/>
      <c r="AX14" s="433"/>
      <c r="AY14" s="433"/>
      <c r="AZ14" s="433"/>
      <c r="BA14" s="433"/>
      <c r="BB14" s="433">
        <f ca="1">IF(Build!AD506,OFFSET(Spells!AM$2,Build!AD506,0),"")</f>
      </c>
      <c r="BC14" s="433"/>
      <c r="BD14" s="433"/>
      <c r="BE14" s="433"/>
      <c r="BF14" s="433"/>
      <c r="BG14" s="621">
        <f ca="1">IF(Build!AD506,OFFSET(Spells!AN$2,Build!AD506,0),"")</f>
      </c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76"/>
    </row>
    <row r="15" spans="1:84" ht="12.75" customHeight="1">
      <c r="A15" s="675"/>
      <c r="B15" s="433"/>
      <c r="C15" s="433"/>
      <c r="D15" s="603">
        <f ca="1">IF(Build!AD507,OFFSET(Spells!AF$2,Build!AD507,0),"")</f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433">
        <f ca="1">IF(Build!AD507,OFFSET(Spells!AG$2,Build!AD507,0),"")</f>
      </c>
      <c r="T15" s="433"/>
      <c r="U15" s="433"/>
      <c r="V15" s="433">
        <f ca="1">IF(Build!AD507,OFFSET(Spells!AH$2,Build!AD507,0),"")</f>
      </c>
      <c r="W15" s="433"/>
      <c r="X15" s="433"/>
      <c r="Y15" s="678">
        <f ca="1">IF(Build!AD507,OFFSET(Spells!AI$2,Build!AD507,0),"")</f>
      </c>
      <c r="Z15" s="678"/>
      <c r="AA15" s="678"/>
      <c r="AB15" s="678"/>
      <c r="AC15" s="678"/>
      <c r="AD15" s="433">
        <f ca="1">IF(Build!AD507,OFFSET(Spells!AJ$2,Build!AD507,0),"")</f>
      </c>
      <c r="AE15" s="433"/>
      <c r="AF15" s="433"/>
      <c r="AG15" s="433"/>
      <c r="AH15" s="433"/>
      <c r="AI15" s="433">
        <f ca="1">IF(Build!AD507,OFFSET(Spells!AK$2,Build!AD507,0),"")</f>
      </c>
      <c r="AJ15" s="433"/>
      <c r="AK15" s="433"/>
      <c r="AL15" s="433"/>
      <c r="AM15" s="433"/>
      <c r="AN15" s="433"/>
      <c r="AO15" s="433">
        <f ca="1">IF(AND(Build!AD507,LEN(OFFSET(Spells!AL$2,Build!AD507,0))&lt;5),OFFSET(Spells!AL$2,Build!AD507,0),"")</f>
      </c>
      <c r="AP15" s="433"/>
      <c r="AQ15" s="433"/>
      <c r="AR15" s="148">
        <f t="shared" si="0"/>
      </c>
      <c r="AS15" s="433">
        <f>IF(AO15&lt;&gt;"",VLOOKUP(LEFT(AO15,FIND("+",AO15&amp;"+")-1),Build!X$480:Y$486,2,0)+IF(LEN(AO15)&gt;2,MID(AO15,FIND("+",AO15&amp;"+")+1,2),0),"")</f>
      </c>
      <c r="AT15" s="433"/>
      <c r="AU15" s="433">
        <f ca="1" t="shared" si="1"/>
      </c>
      <c r="AV15" s="433"/>
      <c r="AW15" s="433"/>
      <c r="AX15" s="433"/>
      <c r="AY15" s="433"/>
      <c r="AZ15" s="433"/>
      <c r="BA15" s="433"/>
      <c r="BB15" s="433">
        <f ca="1">IF(Build!AD507,OFFSET(Spells!AM$2,Build!AD507,0),"")</f>
      </c>
      <c r="BC15" s="433"/>
      <c r="BD15" s="433"/>
      <c r="BE15" s="433"/>
      <c r="BF15" s="433"/>
      <c r="BG15" s="621">
        <f ca="1">IF(Build!AD507,OFFSET(Spells!AN$2,Build!AD507,0),"")</f>
      </c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76"/>
    </row>
    <row r="16" spans="1:84" ht="12.75" customHeight="1">
      <c r="A16" s="675"/>
      <c r="B16" s="433"/>
      <c r="C16" s="433"/>
      <c r="D16" s="603">
        <f ca="1">IF(Build!AD508,OFFSET(Spells!AF$2,Build!AD508,0),"")</f>
      </c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433">
        <f ca="1">IF(Build!AD508,OFFSET(Spells!AG$2,Build!AD508,0),"")</f>
      </c>
      <c r="T16" s="433"/>
      <c r="U16" s="433"/>
      <c r="V16" s="433">
        <f ca="1">IF(Build!AD508,OFFSET(Spells!AH$2,Build!AD508,0),"")</f>
      </c>
      <c r="W16" s="433"/>
      <c r="X16" s="433"/>
      <c r="Y16" s="678">
        <f ca="1">IF(Build!AD508,OFFSET(Spells!AI$2,Build!AD508,0),"")</f>
      </c>
      <c r="Z16" s="678"/>
      <c r="AA16" s="678"/>
      <c r="AB16" s="678"/>
      <c r="AC16" s="678"/>
      <c r="AD16" s="433">
        <f ca="1">IF(Build!AD508,OFFSET(Spells!AJ$2,Build!AD508,0),"")</f>
      </c>
      <c r="AE16" s="433"/>
      <c r="AF16" s="433"/>
      <c r="AG16" s="433"/>
      <c r="AH16" s="433"/>
      <c r="AI16" s="433">
        <f ca="1">IF(Build!AD508,OFFSET(Spells!AK$2,Build!AD508,0),"")</f>
      </c>
      <c r="AJ16" s="433"/>
      <c r="AK16" s="433"/>
      <c r="AL16" s="433"/>
      <c r="AM16" s="433"/>
      <c r="AN16" s="433"/>
      <c r="AO16" s="433">
        <f ca="1">IF(AND(Build!AD508,LEN(OFFSET(Spells!AL$2,Build!AD508,0))&lt;5),OFFSET(Spells!AL$2,Build!AD508,0),"")</f>
      </c>
      <c r="AP16" s="433"/>
      <c r="AQ16" s="433"/>
      <c r="AR16" s="148">
        <f t="shared" si="0"/>
      </c>
      <c r="AS16" s="433">
        <f>IF(AO16&lt;&gt;"",VLOOKUP(LEFT(AO16,FIND("+",AO16&amp;"+")-1),Build!X$480:Y$486,2,0)+IF(LEN(AO16)&gt;2,MID(AO16,FIND("+",AO16&amp;"+")+1,2),0),"")</f>
      </c>
      <c r="AT16" s="433"/>
      <c r="AU16" s="433">
        <f ca="1" t="shared" si="1"/>
      </c>
      <c r="AV16" s="433"/>
      <c r="AW16" s="433"/>
      <c r="AX16" s="433"/>
      <c r="AY16" s="433"/>
      <c r="AZ16" s="433"/>
      <c r="BA16" s="433"/>
      <c r="BB16" s="433">
        <f ca="1">IF(Build!AD508,OFFSET(Spells!AM$2,Build!AD508,0),"")</f>
      </c>
      <c r="BC16" s="433"/>
      <c r="BD16" s="433"/>
      <c r="BE16" s="433"/>
      <c r="BF16" s="433"/>
      <c r="BG16" s="621">
        <f ca="1">IF(Build!AD508,OFFSET(Spells!AN$2,Build!AD508,0),"")</f>
      </c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76"/>
    </row>
    <row r="17" spans="1:84" ht="12.75" customHeight="1">
      <c r="A17" s="675"/>
      <c r="B17" s="433"/>
      <c r="C17" s="433"/>
      <c r="D17" s="603">
        <f ca="1">IF(Build!AD509,OFFSET(Spells!AF$2,Build!AD509,0),"")</f>
      </c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433">
        <f ca="1">IF(Build!AD509,OFFSET(Spells!AG$2,Build!AD509,0),"")</f>
      </c>
      <c r="T17" s="433"/>
      <c r="U17" s="433"/>
      <c r="V17" s="433">
        <f ca="1">IF(Build!AD509,OFFSET(Spells!AH$2,Build!AD509,0),"")</f>
      </c>
      <c r="W17" s="433"/>
      <c r="X17" s="433"/>
      <c r="Y17" s="678">
        <f ca="1">IF(Build!AD509,OFFSET(Spells!AI$2,Build!AD509,0),"")</f>
      </c>
      <c r="Z17" s="678"/>
      <c r="AA17" s="678"/>
      <c r="AB17" s="678"/>
      <c r="AC17" s="678"/>
      <c r="AD17" s="433">
        <f ca="1">IF(Build!AD509,OFFSET(Spells!AJ$2,Build!AD509,0),"")</f>
      </c>
      <c r="AE17" s="433"/>
      <c r="AF17" s="433"/>
      <c r="AG17" s="433"/>
      <c r="AH17" s="433"/>
      <c r="AI17" s="433">
        <f ca="1">IF(Build!AD509,OFFSET(Spells!AK$2,Build!AD509,0),"")</f>
      </c>
      <c r="AJ17" s="433"/>
      <c r="AK17" s="433"/>
      <c r="AL17" s="433"/>
      <c r="AM17" s="433"/>
      <c r="AN17" s="433"/>
      <c r="AO17" s="433">
        <f ca="1">IF(AND(Build!AD509,LEN(OFFSET(Spells!AL$2,Build!AD509,0))&lt;5),OFFSET(Spells!AL$2,Build!AD509,0),"")</f>
      </c>
      <c r="AP17" s="433"/>
      <c r="AQ17" s="433"/>
      <c r="AR17" s="148">
        <f t="shared" si="0"/>
      </c>
      <c r="AS17" s="433">
        <f>IF(AO17&lt;&gt;"",VLOOKUP(LEFT(AO17,FIND("+",AO17&amp;"+")-1),Build!X$480:Y$486,2,0)+IF(LEN(AO17)&gt;2,MID(AO17,FIND("+",AO17&amp;"+")+1,2),0),"")</f>
      </c>
      <c r="AT17" s="433"/>
      <c r="AU17" s="433">
        <f ca="1" t="shared" si="1"/>
      </c>
      <c r="AV17" s="433"/>
      <c r="AW17" s="433"/>
      <c r="AX17" s="433"/>
      <c r="AY17" s="433"/>
      <c r="AZ17" s="433"/>
      <c r="BA17" s="433"/>
      <c r="BB17" s="433">
        <f ca="1">IF(Build!AD509,OFFSET(Spells!AM$2,Build!AD509,0),"")</f>
      </c>
      <c r="BC17" s="433"/>
      <c r="BD17" s="433"/>
      <c r="BE17" s="433"/>
      <c r="BF17" s="433"/>
      <c r="BG17" s="621">
        <f ca="1">IF(Build!AD509,OFFSET(Spells!AN$2,Build!AD509,0),"")</f>
      </c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76"/>
    </row>
    <row r="18" spans="1:84" ht="12.75" customHeight="1">
      <c r="A18" s="675"/>
      <c r="B18" s="433"/>
      <c r="C18" s="433"/>
      <c r="D18" s="603">
        <f ca="1">IF(Build!AD510,OFFSET(Spells!AF$2,Build!AD510,0),"")</f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433">
        <f ca="1">IF(Build!AD510,OFFSET(Spells!AG$2,Build!AD510,0),"")</f>
      </c>
      <c r="T18" s="433"/>
      <c r="U18" s="433"/>
      <c r="V18" s="433">
        <f ca="1">IF(Build!AD510,OFFSET(Spells!AH$2,Build!AD510,0),"")</f>
      </c>
      <c r="W18" s="433"/>
      <c r="X18" s="433"/>
      <c r="Y18" s="678">
        <f ca="1">IF(Build!AD510,OFFSET(Spells!AI$2,Build!AD510,0),"")</f>
      </c>
      <c r="Z18" s="678"/>
      <c r="AA18" s="678"/>
      <c r="AB18" s="678"/>
      <c r="AC18" s="678"/>
      <c r="AD18" s="433">
        <f ca="1">IF(Build!AD510,OFFSET(Spells!AJ$2,Build!AD510,0),"")</f>
      </c>
      <c r="AE18" s="433"/>
      <c r="AF18" s="433"/>
      <c r="AG18" s="433"/>
      <c r="AH18" s="433"/>
      <c r="AI18" s="433">
        <f ca="1">IF(Build!AD510,OFFSET(Spells!AK$2,Build!AD510,0),"")</f>
      </c>
      <c r="AJ18" s="433"/>
      <c r="AK18" s="433"/>
      <c r="AL18" s="433"/>
      <c r="AM18" s="433"/>
      <c r="AN18" s="433"/>
      <c r="AO18" s="433">
        <f ca="1">IF(AND(Build!AD510,LEN(OFFSET(Spells!AL$2,Build!AD510,0))&lt;5),OFFSET(Spells!AL$2,Build!AD510,0),"")</f>
      </c>
      <c r="AP18" s="433"/>
      <c r="AQ18" s="433"/>
      <c r="AR18" s="148">
        <f t="shared" si="0"/>
      </c>
      <c r="AS18" s="433">
        <f>IF(AO18&lt;&gt;"",VLOOKUP(LEFT(AO18,FIND("+",AO18&amp;"+")-1),Build!X$480:Y$486,2,0)+IF(LEN(AO18)&gt;2,MID(AO18,FIND("+",AO18&amp;"+")+1,2),0),"")</f>
      </c>
      <c r="AT18" s="433"/>
      <c r="AU18" s="433">
        <f ca="1" t="shared" si="1"/>
      </c>
      <c r="AV18" s="433"/>
      <c r="AW18" s="433"/>
      <c r="AX18" s="433"/>
      <c r="AY18" s="433"/>
      <c r="AZ18" s="433"/>
      <c r="BA18" s="433"/>
      <c r="BB18" s="433">
        <f ca="1">IF(Build!AD510,OFFSET(Spells!AM$2,Build!AD510,0),"")</f>
      </c>
      <c r="BC18" s="433"/>
      <c r="BD18" s="433"/>
      <c r="BE18" s="433"/>
      <c r="BF18" s="433"/>
      <c r="BG18" s="621">
        <f ca="1">IF(Build!AD510,OFFSET(Spells!AN$2,Build!AD510,0),"")</f>
      </c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76"/>
    </row>
    <row r="19" spans="1:84" ht="12.75" customHeight="1">
      <c r="A19" s="675"/>
      <c r="B19" s="433"/>
      <c r="C19" s="433"/>
      <c r="D19" s="603">
        <f ca="1">IF(Build!AD511,OFFSET(Spells!AF$2,Build!AD511,0),"")</f>
      </c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433">
        <f ca="1">IF(Build!AD511,OFFSET(Spells!AG$2,Build!AD511,0),"")</f>
      </c>
      <c r="T19" s="433"/>
      <c r="U19" s="433"/>
      <c r="V19" s="433">
        <f ca="1">IF(Build!AD511,OFFSET(Spells!AH$2,Build!AD511,0),"")</f>
      </c>
      <c r="W19" s="433"/>
      <c r="X19" s="433"/>
      <c r="Y19" s="678">
        <f ca="1">IF(Build!AD511,OFFSET(Spells!AI$2,Build!AD511,0),"")</f>
      </c>
      <c r="Z19" s="678"/>
      <c r="AA19" s="678"/>
      <c r="AB19" s="678"/>
      <c r="AC19" s="678"/>
      <c r="AD19" s="433">
        <f ca="1">IF(Build!AD511,OFFSET(Spells!AJ$2,Build!AD511,0),"")</f>
      </c>
      <c r="AE19" s="433"/>
      <c r="AF19" s="433"/>
      <c r="AG19" s="433"/>
      <c r="AH19" s="433"/>
      <c r="AI19" s="433">
        <f ca="1">IF(Build!AD511,OFFSET(Spells!AK$2,Build!AD511,0),"")</f>
      </c>
      <c r="AJ19" s="433"/>
      <c r="AK19" s="433"/>
      <c r="AL19" s="433"/>
      <c r="AM19" s="433"/>
      <c r="AN19" s="433"/>
      <c r="AO19" s="433">
        <f ca="1">IF(AND(Build!AD511,LEN(OFFSET(Spells!AL$2,Build!AD511,0))&lt;5),OFFSET(Spells!AL$2,Build!AD511,0),"")</f>
      </c>
      <c r="AP19" s="433"/>
      <c r="AQ19" s="433"/>
      <c r="AR19" s="148">
        <f t="shared" si="0"/>
      </c>
      <c r="AS19" s="433">
        <f>IF(AO19&lt;&gt;"",VLOOKUP(LEFT(AO19,FIND("+",AO19&amp;"+")-1),Build!X$480:Y$486,2,0)+IF(LEN(AO19)&gt;2,MID(AO19,FIND("+",AO19&amp;"+")+1,2),0),"")</f>
      </c>
      <c r="AT19" s="433"/>
      <c r="AU19" s="433">
        <f ca="1" t="shared" si="1"/>
      </c>
      <c r="AV19" s="433"/>
      <c r="AW19" s="433"/>
      <c r="AX19" s="433"/>
      <c r="AY19" s="433"/>
      <c r="AZ19" s="433"/>
      <c r="BA19" s="433"/>
      <c r="BB19" s="433">
        <f ca="1">IF(Build!AD511,OFFSET(Spells!AM$2,Build!AD511,0),"")</f>
      </c>
      <c r="BC19" s="433"/>
      <c r="BD19" s="433"/>
      <c r="BE19" s="433"/>
      <c r="BF19" s="433"/>
      <c r="BG19" s="621">
        <f ca="1">IF(Build!AD511,OFFSET(Spells!AN$2,Build!AD511,0),"")</f>
      </c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621"/>
      <c r="BU19" s="621"/>
      <c r="BV19" s="621"/>
      <c r="BW19" s="621"/>
      <c r="BX19" s="621"/>
      <c r="BY19" s="621"/>
      <c r="BZ19" s="621"/>
      <c r="CA19" s="621"/>
      <c r="CB19" s="621"/>
      <c r="CC19" s="621"/>
      <c r="CD19" s="621"/>
      <c r="CE19" s="621"/>
      <c r="CF19" s="676"/>
    </row>
    <row r="20" spans="1:84" ht="12.75" customHeight="1">
      <c r="A20" s="675"/>
      <c r="B20" s="433"/>
      <c r="C20" s="433"/>
      <c r="D20" s="603">
        <f ca="1">IF(Build!AD512,OFFSET(Spells!AF$2,Build!AD512,0),"")</f>
      </c>
      <c r="E20" s="603"/>
      <c r="F20" s="603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433">
        <f ca="1">IF(Build!AD512,OFFSET(Spells!AG$2,Build!AD512,0),"")</f>
      </c>
      <c r="T20" s="433"/>
      <c r="U20" s="433"/>
      <c r="V20" s="433">
        <f ca="1">IF(Build!AD512,OFFSET(Spells!AH$2,Build!AD512,0),"")</f>
      </c>
      <c r="W20" s="433"/>
      <c r="X20" s="433"/>
      <c r="Y20" s="678">
        <f ca="1">IF(Build!AD512,OFFSET(Spells!AI$2,Build!AD512,0),"")</f>
      </c>
      <c r="Z20" s="678"/>
      <c r="AA20" s="678"/>
      <c r="AB20" s="678"/>
      <c r="AC20" s="678"/>
      <c r="AD20" s="433">
        <f ca="1">IF(Build!AD512,OFFSET(Spells!AJ$2,Build!AD512,0),"")</f>
      </c>
      <c r="AE20" s="433"/>
      <c r="AF20" s="433"/>
      <c r="AG20" s="433"/>
      <c r="AH20" s="433"/>
      <c r="AI20" s="433">
        <f ca="1">IF(Build!AD512,OFFSET(Spells!AK$2,Build!AD512,0),"")</f>
      </c>
      <c r="AJ20" s="433"/>
      <c r="AK20" s="433"/>
      <c r="AL20" s="433"/>
      <c r="AM20" s="433"/>
      <c r="AN20" s="433"/>
      <c r="AO20" s="433">
        <f ca="1">IF(AND(Build!AD512,LEN(OFFSET(Spells!AL$2,Build!AD512,0))&lt;5),OFFSET(Spells!AL$2,Build!AD512,0),"")</f>
      </c>
      <c r="AP20" s="433"/>
      <c r="AQ20" s="433"/>
      <c r="AR20" s="148">
        <f t="shared" si="0"/>
      </c>
      <c r="AS20" s="433">
        <f>IF(AO20&lt;&gt;"",VLOOKUP(LEFT(AO20,FIND("+",AO20&amp;"+")-1),Build!X$480:Y$486,2,0)+IF(LEN(AO20)&gt;2,MID(AO20,FIND("+",AO20&amp;"+")+1,2),0),"")</f>
      </c>
      <c r="AT20" s="433"/>
      <c r="AU20" s="433">
        <f ca="1" t="shared" si="1"/>
      </c>
      <c r="AV20" s="433"/>
      <c r="AW20" s="433"/>
      <c r="AX20" s="433"/>
      <c r="AY20" s="433"/>
      <c r="AZ20" s="433"/>
      <c r="BA20" s="433"/>
      <c r="BB20" s="433">
        <f ca="1">IF(Build!AD512,OFFSET(Spells!AM$2,Build!AD512,0),"")</f>
      </c>
      <c r="BC20" s="433"/>
      <c r="BD20" s="433"/>
      <c r="BE20" s="433"/>
      <c r="BF20" s="433"/>
      <c r="BG20" s="621">
        <f ca="1">IF(Build!AD512,OFFSET(Spells!AN$2,Build!AD512,0),"")</f>
      </c>
      <c r="BH20" s="621"/>
      <c r="BI20" s="621"/>
      <c r="BJ20" s="621"/>
      <c r="BK20" s="621"/>
      <c r="BL20" s="621"/>
      <c r="BM20" s="621"/>
      <c r="BN20" s="621"/>
      <c r="BO20" s="621"/>
      <c r="BP20" s="621"/>
      <c r="BQ20" s="621"/>
      <c r="BR20" s="621"/>
      <c r="BS20" s="621"/>
      <c r="BT20" s="621"/>
      <c r="BU20" s="621"/>
      <c r="BV20" s="621"/>
      <c r="BW20" s="621"/>
      <c r="BX20" s="621"/>
      <c r="BY20" s="621"/>
      <c r="BZ20" s="621"/>
      <c r="CA20" s="621"/>
      <c r="CB20" s="621"/>
      <c r="CC20" s="621"/>
      <c r="CD20" s="621"/>
      <c r="CE20" s="621"/>
      <c r="CF20" s="676"/>
    </row>
    <row r="21" spans="1:84" ht="12.75" customHeight="1">
      <c r="A21" s="675"/>
      <c r="B21" s="433"/>
      <c r="C21" s="433"/>
      <c r="D21" s="603">
        <f ca="1">IF(Build!AD513,OFFSET(Spells!AF$2,Build!AD513,0),"")</f>
      </c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433">
        <f ca="1">IF(Build!AD513,OFFSET(Spells!AG$2,Build!AD513,0),"")</f>
      </c>
      <c r="T21" s="433"/>
      <c r="U21" s="433"/>
      <c r="V21" s="433">
        <f ca="1">IF(Build!AD513,OFFSET(Spells!AH$2,Build!AD513,0),"")</f>
      </c>
      <c r="W21" s="433"/>
      <c r="X21" s="433"/>
      <c r="Y21" s="678">
        <f ca="1">IF(Build!AD513,OFFSET(Spells!AI$2,Build!AD513,0),"")</f>
      </c>
      <c r="Z21" s="678"/>
      <c r="AA21" s="678"/>
      <c r="AB21" s="678"/>
      <c r="AC21" s="678"/>
      <c r="AD21" s="433">
        <f ca="1">IF(Build!AD513,OFFSET(Spells!AJ$2,Build!AD513,0),"")</f>
      </c>
      <c r="AE21" s="433"/>
      <c r="AF21" s="433"/>
      <c r="AG21" s="433"/>
      <c r="AH21" s="433"/>
      <c r="AI21" s="433">
        <f ca="1">IF(Build!AD513,OFFSET(Spells!AK$2,Build!AD513,0),"")</f>
      </c>
      <c r="AJ21" s="433"/>
      <c r="AK21" s="433"/>
      <c r="AL21" s="433"/>
      <c r="AM21" s="433"/>
      <c r="AN21" s="433"/>
      <c r="AO21" s="433">
        <f ca="1">IF(AND(Build!AD513,LEN(OFFSET(Spells!AL$2,Build!AD513,0))&lt;5),OFFSET(Spells!AL$2,Build!AD513,0),"")</f>
      </c>
      <c r="AP21" s="433"/>
      <c r="AQ21" s="433"/>
      <c r="AR21" s="148">
        <f t="shared" si="0"/>
      </c>
      <c r="AS21" s="433">
        <f>IF(AO21&lt;&gt;"",VLOOKUP(LEFT(AO21,FIND("+",AO21&amp;"+")-1),Build!X$480:Y$486,2,0)+IF(LEN(AO21)&gt;2,MID(AO21,FIND("+",AO21&amp;"+")+1,2),0),"")</f>
      </c>
      <c r="AT21" s="433"/>
      <c r="AU21" s="433">
        <f ca="1" t="shared" si="1"/>
      </c>
      <c r="AV21" s="433"/>
      <c r="AW21" s="433"/>
      <c r="AX21" s="433"/>
      <c r="AY21" s="433"/>
      <c r="AZ21" s="433"/>
      <c r="BA21" s="433"/>
      <c r="BB21" s="433">
        <f ca="1">IF(Build!AD513,OFFSET(Spells!AM$2,Build!AD513,0),"")</f>
      </c>
      <c r="BC21" s="433"/>
      <c r="BD21" s="433"/>
      <c r="BE21" s="433"/>
      <c r="BF21" s="433"/>
      <c r="BG21" s="621">
        <f ca="1">IF(Build!AD513,OFFSET(Spells!AN$2,Build!AD513,0),"")</f>
      </c>
      <c r="BH21" s="621"/>
      <c r="BI21" s="621"/>
      <c r="BJ21" s="621"/>
      <c r="BK21" s="621"/>
      <c r="BL21" s="621"/>
      <c r="BM21" s="621"/>
      <c r="BN21" s="621"/>
      <c r="BO21" s="621"/>
      <c r="BP21" s="621"/>
      <c r="BQ21" s="621"/>
      <c r="BR21" s="621"/>
      <c r="BS21" s="621"/>
      <c r="BT21" s="621"/>
      <c r="BU21" s="621"/>
      <c r="BV21" s="621"/>
      <c r="BW21" s="621"/>
      <c r="BX21" s="621"/>
      <c r="BY21" s="621"/>
      <c r="BZ21" s="621"/>
      <c r="CA21" s="621"/>
      <c r="CB21" s="621"/>
      <c r="CC21" s="621"/>
      <c r="CD21" s="621"/>
      <c r="CE21" s="621"/>
      <c r="CF21" s="676"/>
    </row>
    <row r="22" spans="1:84" ht="12.75" customHeight="1">
      <c r="A22" s="675"/>
      <c r="B22" s="433"/>
      <c r="C22" s="433"/>
      <c r="D22" s="603">
        <f ca="1">IF(Build!AD514,OFFSET(Spells!AF$2,Build!AD514,0),"")</f>
      </c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433">
        <f ca="1">IF(Build!AD514,OFFSET(Spells!AG$2,Build!AD514,0),"")</f>
      </c>
      <c r="T22" s="433"/>
      <c r="U22" s="433"/>
      <c r="V22" s="433">
        <f ca="1">IF(Build!AD514,OFFSET(Spells!AH$2,Build!AD514,0),"")</f>
      </c>
      <c r="W22" s="433"/>
      <c r="X22" s="433"/>
      <c r="Y22" s="678">
        <f ca="1">IF(Build!AD514,OFFSET(Spells!AI$2,Build!AD514,0),"")</f>
      </c>
      <c r="Z22" s="678"/>
      <c r="AA22" s="678"/>
      <c r="AB22" s="678"/>
      <c r="AC22" s="678"/>
      <c r="AD22" s="433">
        <f ca="1">IF(Build!AD514,OFFSET(Spells!AJ$2,Build!AD514,0),"")</f>
      </c>
      <c r="AE22" s="433"/>
      <c r="AF22" s="433"/>
      <c r="AG22" s="433"/>
      <c r="AH22" s="433"/>
      <c r="AI22" s="433">
        <f ca="1">IF(Build!AD514,OFFSET(Spells!AK$2,Build!AD514,0),"")</f>
      </c>
      <c r="AJ22" s="433"/>
      <c r="AK22" s="433"/>
      <c r="AL22" s="433"/>
      <c r="AM22" s="433"/>
      <c r="AN22" s="433"/>
      <c r="AO22" s="433">
        <f ca="1">IF(AND(Build!AD514,LEN(OFFSET(Spells!AL$2,Build!AD514,0))&lt;5),OFFSET(Spells!AL$2,Build!AD514,0),"")</f>
      </c>
      <c r="AP22" s="433"/>
      <c r="AQ22" s="433"/>
      <c r="AR22" s="148">
        <f t="shared" si="0"/>
      </c>
      <c r="AS22" s="433">
        <f>IF(AO22&lt;&gt;"",VLOOKUP(LEFT(AO22,FIND("+",AO22&amp;"+")-1),Build!X$480:Y$486,2,0)+IF(LEN(AO22)&gt;2,MID(AO22,FIND("+",AO22&amp;"+")+1,2),0),"")</f>
      </c>
      <c r="AT22" s="433"/>
      <c r="AU22" s="433">
        <f ca="1" t="shared" si="1"/>
      </c>
      <c r="AV22" s="433"/>
      <c r="AW22" s="433"/>
      <c r="AX22" s="433"/>
      <c r="AY22" s="433"/>
      <c r="AZ22" s="433"/>
      <c r="BA22" s="433"/>
      <c r="BB22" s="433">
        <f ca="1">IF(Build!AD514,OFFSET(Spells!AM$2,Build!AD514,0),"")</f>
      </c>
      <c r="BC22" s="433"/>
      <c r="BD22" s="433"/>
      <c r="BE22" s="433"/>
      <c r="BF22" s="433"/>
      <c r="BG22" s="621">
        <f ca="1">IF(Build!AD514,OFFSET(Spells!AN$2,Build!AD514,0),"")</f>
      </c>
      <c r="BH22" s="621"/>
      <c r="BI22" s="621"/>
      <c r="BJ22" s="621"/>
      <c r="BK22" s="621"/>
      <c r="BL22" s="621"/>
      <c r="BM22" s="621"/>
      <c r="BN22" s="621"/>
      <c r="BO22" s="621"/>
      <c r="BP22" s="621"/>
      <c r="BQ22" s="621"/>
      <c r="BR22" s="621"/>
      <c r="BS22" s="621"/>
      <c r="BT22" s="621"/>
      <c r="BU22" s="621"/>
      <c r="BV22" s="621"/>
      <c r="BW22" s="621"/>
      <c r="BX22" s="621"/>
      <c r="BY22" s="621"/>
      <c r="BZ22" s="621"/>
      <c r="CA22" s="621"/>
      <c r="CB22" s="621"/>
      <c r="CC22" s="621"/>
      <c r="CD22" s="621"/>
      <c r="CE22" s="621"/>
      <c r="CF22" s="676"/>
    </row>
    <row r="23" spans="1:84" ht="12.75" customHeight="1">
      <c r="A23" s="675"/>
      <c r="B23" s="433"/>
      <c r="C23" s="433"/>
      <c r="D23" s="603">
        <f ca="1">IF(Build!AD515,OFFSET(Spells!AF$2,Build!AD515,0),"")</f>
      </c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433">
        <f ca="1">IF(Build!AD515,OFFSET(Spells!AG$2,Build!AD515,0),"")</f>
      </c>
      <c r="T23" s="433"/>
      <c r="U23" s="433"/>
      <c r="V23" s="433">
        <f ca="1">IF(Build!AD515,OFFSET(Spells!AH$2,Build!AD515,0),"")</f>
      </c>
      <c r="W23" s="433"/>
      <c r="X23" s="433"/>
      <c r="Y23" s="678">
        <f ca="1">IF(Build!AD515,OFFSET(Spells!AI$2,Build!AD515,0),"")</f>
      </c>
      <c r="Z23" s="678"/>
      <c r="AA23" s="678"/>
      <c r="AB23" s="678"/>
      <c r="AC23" s="678"/>
      <c r="AD23" s="433">
        <f ca="1">IF(Build!AD515,OFFSET(Spells!AJ$2,Build!AD515,0),"")</f>
      </c>
      <c r="AE23" s="433"/>
      <c r="AF23" s="433"/>
      <c r="AG23" s="433"/>
      <c r="AH23" s="433"/>
      <c r="AI23" s="433">
        <f ca="1">IF(Build!AD515,OFFSET(Spells!AK$2,Build!AD515,0),"")</f>
      </c>
      <c r="AJ23" s="433"/>
      <c r="AK23" s="433"/>
      <c r="AL23" s="433"/>
      <c r="AM23" s="433"/>
      <c r="AN23" s="433"/>
      <c r="AO23" s="433">
        <f ca="1">IF(AND(Build!AD515,LEN(OFFSET(Spells!AL$2,Build!AD515,0))&lt;5),OFFSET(Spells!AL$2,Build!AD515,0),"")</f>
      </c>
      <c r="AP23" s="433"/>
      <c r="AQ23" s="433"/>
      <c r="AR23" s="148">
        <f t="shared" si="0"/>
      </c>
      <c r="AS23" s="433">
        <f>IF(AO23&lt;&gt;"",VLOOKUP(LEFT(AO23,FIND("+",AO23&amp;"+")-1),Build!X$480:Y$486,2,0)+IF(LEN(AO23)&gt;2,MID(AO23,FIND("+",AO23&amp;"+")+1,2),0),"")</f>
      </c>
      <c r="AT23" s="433"/>
      <c r="AU23" s="433">
        <f ca="1" t="shared" si="1"/>
      </c>
      <c r="AV23" s="433"/>
      <c r="AW23" s="433"/>
      <c r="AX23" s="433"/>
      <c r="AY23" s="433"/>
      <c r="AZ23" s="433"/>
      <c r="BA23" s="433"/>
      <c r="BB23" s="433">
        <f ca="1">IF(Build!AD515,OFFSET(Spells!AM$2,Build!AD515,0),"")</f>
      </c>
      <c r="BC23" s="433"/>
      <c r="BD23" s="433"/>
      <c r="BE23" s="433"/>
      <c r="BF23" s="433"/>
      <c r="BG23" s="621">
        <f ca="1">IF(Build!AD515,OFFSET(Spells!AN$2,Build!AD515,0),"")</f>
      </c>
      <c r="BH23" s="621"/>
      <c r="BI23" s="621"/>
      <c r="BJ23" s="621"/>
      <c r="BK23" s="621"/>
      <c r="BL23" s="621"/>
      <c r="BM23" s="621"/>
      <c r="BN23" s="621"/>
      <c r="BO23" s="621"/>
      <c r="BP23" s="621"/>
      <c r="BQ23" s="621"/>
      <c r="BR23" s="621"/>
      <c r="BS23" s="621"/>
      <c r="BT23" s="621"/>
      <c r="BU23" s="621"/>
      <c r="BV23" s="621"/>
      <c r="BW23" s="621"/>
      <c r="BX23" s="621"/>
      <c r="BY23" s="621"/>
      <c r="BZ23" s="621"/>
      <c r="CA23" s="621"/>
      <c r="CB23" s="621"/>
      <c r="CC23" s="621"/>
      <c r="CD23" s="621"/>
      <c r="CE23" s="621"/>
      <c r="CF23" s="676"/>
    </row>
    <row r="24" spans="1:84" ht="12.75" customHeight="1">
      <c r="A24" s="675"/>
      <c r="B24" s="433"/>
      <c r="C24" s="433"/>
      <c r="D24" s="603">
        <f ca="1">IF(Build!AD516,OFFSET(Spells!AF$2,Build!AD516,0),"")</f>
      </c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433">
        <f ca="1">IF(Build!AD516,OFFSET(Spells!AG$2,Build!AD516,0),"")</f>
      </c>
      <c r="T24" s="433"/>
      <c r="U24" s="433"/>
      <c r="V24" s="433">
        <f ca="1">IF(Build!AD516,OFFSET(Spells!AH$2,Build!AD516,0),"")</f>
      </c>
      <c r="W24" s="433"/>
      <c r="X24" s="433"/>
      <c r="Y24" s="678">
        <f ca="1">IF(Build!AD516,OFFSET(Spells!AI$2,Build!AD516,0),"")</f>
      </c>
      <c r="Z24" s="678"/>
      <c r="AA24" s="678"/>
      <c r="AB24" s="678"/>
      <c r="AC24" s="678"/>
      <c r="AD24" s="433">
        <f ca="1">IF(Build!AD516,OFFSET(Spells!AJ$2,Build!AD516,0),"")</f>
      </c>
      <c r="AE24" s="433"/>
      <c r="AF24" s="433"/>
      <c r="AG24" s="433"/>
      <c r="AH24" s="433"/>
      <c r="AI24" s="433">
        <f ca="1">IF(Build!AD516,OFFSET(Spells!AK$2,Build!AD516,0),"")</f>
      </c>
      <c r="AJ24" s="433"/>
      <c r="AK24" s="433"/>
      <c r="AL24" s="433"/>
      <c r="AM24" s="433"/>
      <c r="AN24" s="433"/>
      <c r="AO24" s="433">
        <f ca="1">IF(AND(Build!AD516,LEN(OFFSET(Spells!AL$2,Build!AD516,0))&lt;5),OFFSET(Spells!AL$2,Build!AD516,0),"")</f>
      </c>
      <c r="AP24" s="433"/>
      <c r="AQ24" s="433"/>
      <c r="AR24" s="148">
        <f t="shared" si="0"/>
      </c>
      <c r="AS24" s="433">
        <f>IF(AO24&lt;&gt;"",VLOOKUP(LEFT(AO24,FIND("+",AO24&amp;"+")-1),Build!X$480:Y$486,2,0)+IF(LEN(AO24)&gt;2,MID(AO24,FIND("+",AO24&amp;"+")+1,2),0),"")</f>
      </c>
      <c r="AT24" s="433"/>
      <c r="AU24" s="433">
        <f ca="1" t="shared" si="1"/>
      </c>
      <c r="AV24" s="433"/>
      <c r="AW24" s="433"/>
      <c r="AX24" s="433"/>
      <c r="AY24" s="433"/>
      <c r="AZ24" s="433"/>
      <c r="BA24" s="433"/>
      <c r="BB24" s="433">
        <f ca="1">IF(Build!AD516,OFFSET(Spells!AM$2,Build!AD516,0),"")</f>
      </c>
      <c r="BC24" s="433"/>
      <c r="BD24" s="433"/>
      <c r="BE24" s="433"/>
      <c r="BF24" s="433"/>
      <c r="BG24" s="621">
        <f ca="1">IF(Build!AD516,OFFSET(Spells!AN$2,Build!AD516,0),"")</f>
      </c>
      <c r="BH24" s="621"/>
      <c r="BI24" s="621"/>
      <c r="BJ24" s="621"/>
      <c r="BK24" s="621"/>
      <c r="BL24" s="621"/>
      <c r="BM24" s="621"/>
      <c r="BN24" s="621"/>
      <c r="BO24" s="621"/>
      <c r="BP24" s="621"/>
      <c r="BQ24" s="621"/>
      <c r="BR24" s="621"/>
      <c r="BS24" s="621"/>
      <c r="BT24" s="621"/>
      <c r="BU24" s="621"/>
      <c r="BV24" s="621"/>
      <c r="BW24" s="621"/>
      <c r="BX24" s="621"/>
      <c r="BY24" s="621"/>
      <c r="BZ24" s="621"/>
      <c r="CA24" s="621"/>
      <c r="CB24" s="621"/>
      <c r="CC24" s="621"/>
      <c r="CD24" s="621"/>
      <c r="CE24" s="621"/>
      <c r="CF24" s="676"/>
    </row>
    <row r="25" spans="1:84" ht="12.75" customHeight="1">
      <c r="A25" s="675"/>
      <c r="B25" s="433"/>
      <c r="C25" s="433"/>
      <c r="D25" s="603">
        <f ca="1">IF(Build!AD517,OFFSET(Spells!AF$2,Build!AD517,0),"")</f>
      </c>
      <c r="E25" s="603"/>
      <c r="F25" s="603"/>
      <c r="G25" s="603"/>
      <c r="H25" s="603"/>
      <c r="I25" s="603"/>
      <c r="J25" s="603"/>
      <c r="K25" s="603"/>
      <c r="L25" s="603"/>
      <c r="M25" s="603"/>
      <c r="N25" s="603"/>
      <c r="O25" s="603"/>
      <c r="P25" s="603"/>
      <c r="Q25" s="603"/>
      <c r="R25" s="603"/>
      <c r="S25" s="433">
        <f ca="1">IF(Build!AD517,OFFSET(Spells!AG$2,Build!AD517,0),"")</f>
      </c>
      <c r="T25" s="433"/>
      <c r="U25" s="433"/>
      <c r="V25" s="433">
        <f ca="1">IF(Build!AD517,OFFSET(Spells!AH$2,Build!AD517,0),"")</f>
      </c>
      <c r="W25" s="433"/>
      <c r="X25" s="433"/>
      <c r="Y25" s="678">
        <f ca="1">IF(Build!AD517,OFFSET(Spells!AI$2,Build!AD517,0),"")</f>
      </c>
      <c r="Z25" s="678"/>
      <c r="AA25" s="678"/>
      <c r="AB25" s="678"/>
      <c r="AC25" s="678"/>
      <c r="AD25" s="433">
        <f ca="1">IF(Build!AD517,OFFSET(Spells!AJ$2,Build!AD517,0),"")</f>
      </c>
      <c r="AE25" s="433"/>
      <c r="AF25" s="433"/>
      <c r="AG25" s="433"/>
      <c r="AH25" s="433"/>
      <c r="AI25" s="433">
        <f ca="1">IF(Build!AD517,OFFSET(Spells!AK$2,Build!AD517,0),"")</f>
      </c>
      <c r="AJ25" s="433"/>
      <c r="AK25" s="433"/>
      <c r="AL25" s="433"/>
      <c r="AM25" s="433"/>
      <c r="AN25" s="433"/>
      <c r="AO25" s="433">
        <f ca="1">IF(AND(Build!AD517,LEN(OFFSET(Spells!AL$2,Build!AD517,0))&lt;5),OFFSET(Spells!AL$2,Build!AD517,0),"")</f>
      </c>
      <c r="AP25" s="433"/>
      <c r="AQ25" s="433"/>
      <c r="AR25" s="148">
        <f t="shared" si="0"/>
      </c>
      <c r="AS25" s="433">
        <f>IF(AO25&lt;&gt;"",VLOOKUP(LEFT(AO25,FIND("+",AO25&amp;"+")-1),Build!X$480:Y$486,2,0)+IF(LEN(AO25)&gt;2,MID(AO25,FIND("+",AO25&amp;"+")+1,2),0),"")</f>
      </c>
      <c r="AT25" s="433"/>
      <c r="AU25" s="433">
        <f ca="1" t="shared" si="1"/>
      </c>
      <c r="AV25" s="433"/>
      <c r="AW25" s="433"/>
      <c r="AX25" s="433"/>
      <c r="AY25" s="433"/>
      <c r="AZ25" s="433"/>
      <c r="BA25" s="433"/>
      <c r="BB25" s="433">
        <f ca="1">IF(Build!AD517,OFFSET(Spells!AM$2,Build!AD517,0),"")</f>
      </c>
      <c r="BC25" s="433"/>
      <c r="BD25" s="433"/>
      <c r="BE25" s="433"/>
      <c r="BF25" s="433"/>
      <c r="BG25" s="621">
        <f ca="1">IF(Build!AD517,OFFSET(Spells!AN$2,Build!AD517,0),"")</f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621"/>
      <c r="BS25" s="621"/>
      <c r="BT25" s="621"/>
      <c r="BU25" s="621"/>
      <c r="BV25" s="621"/>
      <c r="BW25" s="621"/>
      <c r="BX25" s="621"/>
      <c r="BY25" s="621"/>
      <c r="BZ25" s="621"/>
      <c r="CA25" s="621"/>
      <c r="CB25" s="621"/>
      <c r="CC25" s="621"/>
      <c r="CD25" s="621"/>
      <c r="CE25" s="621"/>
      <c r="CF25" s="676"/>
    </row>
    <row r="26" spans="1:84" ht="12.75" customHeight="1">
      <c r="A26" s="675"/>
      <c r="B26" s="433"/>
      <c r="C26" s="433"/>
      <c r="D26" s="603">
        <f ca="1">IF(Build!AD518,OFFSET(Spells!AF$2,Build!AD518,0),"")</f>
      </c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3"/>
      <c r="S26" s="433">
        <f ca="1">IF(Build!AD518,OFFSET(Spells!AG$2,Build!AD518,0),"")</f>
      </c>
      <c r="T26" s="433"/>
      <c r="U26" s="433"/>
      <c r="V26" s="433">
        <f ca="1">IF(Build!AD518,OFFSET(Spells!AH$2,Build!AD518,0),"")</f>
      </c>
      <c r="W26" s="433"/>
      <c r="X26" s="433"/>
      <c r="Y26" s="678">
        <f ca="1">IF(Build!AD518,OFFSET(Spells!AI$2,Build!AD518,0),"")</f>
      </c>
      <c r="Z26" s="678"/>
      <c r="AA26" s="678"/>
      <c r="AB26" s="678"/>
      <c r="AC26" s="678"/>
      <c r="AD26" s="433">
        <f ca="1">IF(Build!AD518,OFFSET(Spells!AJ$2,Build!AD518,0),"")</f>
      </c>
      <c r="AE26" s="433"/>
      <c r="AF26" s="433"/>
      <c r="AG26" s="433"/>
      <c r="AH26" s="433"/>
      <c r="AI26" s="433">
        <f ca="1">IF(Build!AD518,OFFSET(Spells!AK$2,Build!AD518,0),"")</f>
      </c>
      <c r="AJ26" s="433"/>
      <c r="AK26" s="433"/>
      <c r="AL26" s="433"/>
      <c r="AM26" s="433"/>
      <c r="AN26" s="433"/>
      <c r="AO26" s="433">
        <f ca="1">IF(AND(Build!AD518,LEN(OFFSET(Spells!AL$2,Build!AD518,0))&lt;5),OFFSET(Spells!AL$2,Build!AD518,0),"")</f>
      </c>
      <c r="AP26" s="433"/>
      <c r="AQ26" s="433"/>
      <c r="AR26" s="148">
        <f t="shared" si="0"/>
      </c>
      <c r="AS26" s="433">
        <f>IF(AO26&lt;&gt;"",VLOOKUP(LEFT(AO26,FIND("+",AO26&amp;"+")-1),Build!X$480:Y$486,2,0)+IF(LEN(AO26)&gt;2,MID(AO26,FIND("+",AO26&amp;"+")+1,2),0),"")</f>
      </c>
      <c r="AT26" s="433"/>
      <c r="AU26" s="433">
        <f ca="1" t="shared" si="1"/>
      </c>
      <c r="AV26" s="433"/>
      <c r="AW26" s="433"/>
      <c r="AX26" s="433"/>
      <c r="AY26" s="433"/>
      <c r="AZ26" s="433"/>
      <c r="BA26" s="433"/>
      <c r="BB26" s="433">
        <f ca="1">IF(Build!AD518,OFFSET(Spells!AM$2,Build!AD518,0),"")</f>
      </c>
      <c r="BC26" s="433"/>
      <c r="BD26" s="433"/>
      <c r="BE26" s="433"/>
      <c r="BF26" s="433"/>
      <c r="BG26" s="621">
        <f ca="1">IF(Build!AD518,OFFSET(Spells!AN$2,Build!AD518,0),"")</f>
      </c>
      <c r="BH26" s="621"/>
      <c r="BI26" s="621"/>
      <c r="BJ26" s="621"/>
      <c r="BK26" s="621"/>
      <c r="BL26" s="621"/>
      <c r="BM26" s="621"/>
      <c r="BN26" s="621"/>
      <c r="BO26" s="621"/>
      <c r="BP26" s="621"/>
      <c r="BQ26" s="621"/>
      <c r="BR26" s="621"/>
      <c r="BS26" s="621"/>
      <c r="BT26" s="621"/>
      <c r="BU26" s="621"/>
      <c r="BV26" s="621"/>
      <c r="BW26" s="621"/>
      <c r="BX26" s="621"/>
      <c r="BY26" s="621"/>
      <c r="BZ26" s="621"/>
      <c r="CA26" s="621"/>
      <c r="CB26" s="621"/>
      <c r="CC26" s="621"/>
      <c r="CD26" s="621"/>
      <c r="CE26" s="621"/>
      <c r="CF26" s="676"/>
    </row>
    <row r="27" spans="1:84" ht="12.75" customHeight="1">
      <c r="A27" s="675"/>
      <c r="B27" s="433"/>
      <c r="C27" s="433"/>
      <c r="D27" s="603">
        <f ca="1">IF(Build!AD519,OFFSET(Spells!AF$2,Build!AD519,0),"")</f>
      </c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433">
        <f ca="1">IF(Build!AD519,OFFSET(Spells!AG$2,Build!AD519,0),"")</f>
      </c>
      <c r="T27" s="433"/>
      <c r="U27" s="433"/>
      <c r="V27" s="433">
        <f ca="1">IF(Build!AD519,OFFSET(Spells!AH$2,Build!AD519,0),"")</f>
      </c>
      <c r="W27" s="433"/>
      <c r="X27" s="433"/>
      <c r="Y27" s="678">
        <f ca="1">IF(Build!AD519,OFFSET(Spells!AI$2,Build!AD519,0),"")</f>
      </c>
      <c r="Z27" s="678"/>
      <c r="AA27" s="678"/>
      <c r="AB27" s="678"/>
      <c r="AC27" s="678"/>
      <c r="AD27" s="433">
        <f ca="1">IF(Build!AD519,OFFSET(Spells!AJ$2,Build!AD519,0),"")</f>
      </c>
      <c r="AE27" s="433"/>
      <c r="AF27" s="433"/>
      <c r="AG27" s="433"/>
      <c r="AH27" s="433"/>
      <c r="AI27" s="433">
        <f ca="1">IF(Build!AD519,OFFSET(Spells!AK$2,Build!AD519,0),"")</f>
      </c>
      <c r="AJ27" s="433"/>
      <c r="AK27" s="433"/>
      <c r="AL27" s="433"/>
      <c r="AM27" s="433"/>
      <c r="AN27" s="433"/>
      <c r="AO27" s="433">
        <f ca="1">IF(AND(Build!AD519,LEN(OFFSET(Spells!AL$2,Build!AD519,0))&lt;5),OFFSET(Spells!AL$2,Build!AD519,0),"")</f>
      </c>
      <c r="AP27" s="433"/>
      <c r="AQ27" s="433"/>
      <c r="AR27" s="148">
        <f t="shared" si="0"/>
      </c>
      <c r="AS27" s="433">
        <f>IF(AO27&lt;&gt;"",VLOOKUP(LEFT(AO27,FIND("+",AO27&amp;"+")-1),Build!X$480:Y$486,2,0)+IF(LEN(AO27)&gt;2,MID(AO27,FIND("+",AO27&amp;"+")+1,2),0),"")</f>
      </c>
      <c r="AT27" s="433"/>
      <c r="AU27" s="433">
        <f ca="1" t="shared" si="1"/>
      </c>
      <c r="AV27" s="433"/>
      <c r="AW27" s="433"/>
      <c r="AX27" s="433"/>
      <c r="AY27" s="433"/>
      <c r="AZ27" s="433"/>
      <c r="BA27" s="433"/>
      <c r="BB27" s="433">
        <f ca="1">IF(Build!AD519,OFFSET(Spells!AM$2,Build!AD519,0),"")</f>
      </c>
      <c r="BC27" s="433"/>
      <c r="BD27" s="433"/>
      <c r="BE27" s="433"/>
      <c r="BF27" s="433"/>
      <c r="BG27" s="621">
        <f ca="1">IF(Build!AD519,OFFSET(Spells!AN$2,Build!AD519,0),"")</f>
      </c>
      <c r="BH27" s="621"/>
      <c r="BI27" s="621"/>
      <c r="BJ27" s="621"/>
      <c r="BK27" s="621"/>
      <c r="BL27" s="621"/>
      <c r="BM27" s="621"/>
      <c r="BN27" s="621"/>
      <c r="BO27" s="621"/>
      <c r="BP27" s="621"/>
      <c r="BQ27" s="621"/>
      <c r="BR27" s="621"/>
      <c r="BS27" s="621"/>
      <c r="BT27" s="621"/>
      <c r="BU27" s="621"/>
      <c r="BV27" s="621"/>
      <c r="BW27" s="621"/>
      <c r="BX27" s="621"/>
      <c r="BY27" s="621"/>
      <c r="BZ27" s="621"/>
      <c r="CA27" s="621"/>
      <c r="CB27" s="621"/>
      <c r="CC27" s="621"/>
      <c r="CD27" s="621"/>
      <c r="CE27" s="621"/>
      <c r="CF27" s="676"/>
    </row>
    <row r="28" spans="1:84" ht="12.75" customHeight="1">
      <c r="A28" s="675"/>
      <c r="B28" s="433"/>
      <c r="C28" s="433"/>
      <c r="D28" s="603">
        <f ca="1">IF(Build!AD520,OFFSET(Spells!AF$2,Build!AD520,0),"")</f>
      </c>
      <c r="E28" s="603"/>
      <c r="F28" s="603"/>
      <c r="G28" s="603"/>
      <c r="H28" s="603"/>
      <c r="I28" s="603"/>
      <c r="J28" s="603"/>
      <c r="K28" s="603"/>
      <c r="L28" s="603"/>
      <c r="M28" s="603"/>
      <c r="N28" s="603"/>
      <c r="O28" s="603"/>
      <c r="P28" s="603"/>
      <c r="Q28" s="603"/>
      <c r="R28" s="603"/>
      <c r="S28" s="433">
        <f ca="1">IF(Build!AD520,OFFSET(Spells!AG$2,Build!AD520,0),"")</f>
      </c>
      <c r="T28" s="433"/>
      <c r="U28" s="433"/>
      <c r="V28" s="433">
        <f ca="1">IF(Build!AD520,OFFSET(Spells!AH$2,Build!AD520,0),"")</f>
      </c>
      <c r="W28" s="433"/>
      <c r="X28" s="433"/>
      <c r="Y28" s="678">
        <f ca="1">IF(Build!AD520,OFFSET(Spells!AI$2,Build!AD520,0),"")</f>
      </c>
      <c r="Z28" s="678"/>
      <c r="AA28" s="678"/>
      <c r="AB28" s="678"/>
      <c r="AC28" s="678"/>
      <c r="AD28" s="433">
        <f ca="1">IF(Build!AD520,OFFSET(Spells!AJ$2,Build!AD520,0),"")</f>
      </c>
      <c r="AE28" s="433"/>
      <c r="AF28" s="433"/>
      <c r="AG28" s="433"/>
      <c r="AH28" s="433"/>
      <c r="AI28" s="433">
        <f ca="1">IF(Build!AD520,OFFSET(Spells!AK$2,Build!AD520,0),"")</f>
      </c>
      <c r="AJ28" s="433"/>
      <c r="AK28" s="433"/>
      <c r="AL28" s="433"/>
      <c r="AM28" s="433"/>
      <c r="AN28" s="433"/>
      <c r="AO28" s="433">
        <f ca="1">IF(AND(Build!AD520,LEN(OFFSET(Spells!AL$2,Build!AD520,0))&lt;5),OFFSET(Spells!AL$2,Build!AD520,0),"")</f>
      </c>
      <c r="AP28" s="433"/>
      <c r="AQ28" s="433"/>
      <c r="AR28" s="148">
        <f t="shared" si="0"/>
      </c>
      <c r="AS28" s="433">
        <f>IF(AO28&lt;&gt;"",VLOOKUP(LEFT(AO28,FIND("+",AO28&amp;"+")-1),Build!X$480:Y$486,2,0)+IF(LEN(AO28)&gt;2,MID(AO28,FIND("+",AO28&amp;"+")+1,2),0),"")</f>
      </c>
      <c r="AT28" s="433"/>
      <c r="AU28" s="433">
        <f ca="1" t="shared" si="1"/>
      </c>
      <c r="AV28" s="433"/>
      <c r="AW28" s="433"/>
      <c r="AX28" s="433"/>
      <c r="AY28" s="433"/>
      <c r="AZ28" s="433"/>
      <c r="BA28" s="433"/>
      <c r="BB28" s="433">
        <f ca="1">IF(Build!AD520,OFFSET(Spells!AM$2,Build!AD520,0),"")</f>
      </c>
      <c r="BC28" s="433"/>
      <c r="BD28" s="433"/>
      <c r="BE28" s="433"/>
      <c r="BF28" s="433"/>
      <c r="BG28" s="621">
        <f ca="1">IF(Build!AD520,OFFSET(Spells!AN$2,Build!AD520,0),"")</f>
      </c>
      <c r="BH28" s="621"/>
      <c r="BI28" s="621"/>
      <c r="BJ28" s="621"/>
      <c r="BK28" s="621"/>
      <c r="BL28" s="621"/>
      <c r="BM28" s="621"/>
      <c r="BN28" s="621"/>
      <c r="BO28" s="621"/>
      <c r="BP28" s="621"/>
      <c r="BQ28" s="621"/>
      <c r="BR28" s="621"/>
      <c r="BS28" s="621"/>
      <c r="BT28" s="621"/>
      <c r="BU28" s="621"/>
      <c r="BV28" s="621"/>
      <c r="BW28" s="621"/>
      <c r="BX28" s="621"/>
      <c r="BY28" s="621"/>
      <c r="BZ28" s="621"/>
      <c r="CA28" s="621"/>
      <c r="CB28" s="621"/>
      <c r="CC28" s="621"/>
      <c r="CD28" s="621"/>
      <c r="CE28" s="621"/>
      <c r="CF28" s="676"/>
    </row>
    <row r="29" spans="1:84" ht="12.75" customHeight="1">
      <c r="A29" s="675"/>
      <c r="B29" s="433"/>
      <c r="C29" s="433"/>
      <c r="D29" s="603">
        <f ca="1">IF(Build!AD521,OFFSET(Spells!AF$2,Build!AD521,0),"")</f>
      </c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603"/>
      <c r="R29" s="603"/>
      <c r="S29" s="433">
        <f ca="1">IF(Build!AD521,OFFSET(Spells!AG$2,Build!AD521,0),"")</f>
      </c>
      <c r="T29" s="433"/>
      <c r="U29" s="433"/>
      <c r="V29" s="433">
        <f ca="1">IF(Build!AD521,OFFSET(Spells!AH$2,Build!AD521,0),"")</f>
      </c>
      <c r="W29" s="433"/>
      <c r="X29" s="433"/>
      <c r="Y29" s="678">
        <f ca="1">IF(Build!AD521,OFFSET(Spells!AI$2,Build!AD521,0),"")</f>
      </c>
      <c r="Z29" s="678"/>
      <c r="AA29" s="678"/>
      <c r="AB29" s="678"/>
      <c r="AC29" s="678"/>
      <c r="AD29" s="433">
        <f ca="1">IF(Build!AD521,OFFSET(Spells!AJ$2,Build!AD521,0),"")</f>
      </c>
      <c r="AE29" s="433"/>
      <c r="AF29" s="433"/>
      <c r="AG29" s="433"/>
      <c r="AH29" s="433"/>
      <c r="AI29" s="433">
        <f ca="1">IF(Build!AD521,OFFSET(Spells!AK$2,Build!AD521,0),"")</f>
      </c>
      <c r="AJ29" s="433"/>
      <c r="AK29" s="433"/>
      <c r="AL29" s="433"/>
      <c r="AM29" s="433"/>
      <c r="AN29" s="433"/>
      <c r="AO29" s="433">
        <f ca="1">IF(AND(Build!AD521,LEN(OFFSET(Spells!AL$2,Build!AD521,0))&lt;5),OFFSET(Spells!AL$2,Build!AD521,0),"")</f>
      </c>
      <c r="AP29" s="433"/>
      <c r="AQ29" s="433"/>
      <c r="AR29" s="148">
        <f t="shared" si="0"/>
      </c>
      <c r="AS29" s="433">
        <f>IF(AO29&lt;&gt;"",VLOOKUP(LEFT(AO29,FIND("+",AO29&amp;"+")-1),Build!X$480:Y$486,2,0)+IF(LEN(AO29)&gt;2,MID(AO29,FIND("+",AO29&amp;"+")+1,2),0),"")</f>
      </c>
      <c r="AT29" s="433"/>
      <c r="AU29" s="433">
        <f ca="1" t="shared" si="1"/>
      </c>
      <c r="AV29" s="433"/>
      <c r="AW29" s="433"/>
      <c r="AX29" s="433"/>
      <c r="AY29" s="433"/>
      <c r="AZ29" s="433"/>
      <c r="BA29" s="433"/>
      <c r="BB29" s="433">
        <f ca="1">IF(Build!AD521,OFFSET(Spells!AM$2,Build!AD521,0),"")</f>
      </c>
      <c r="BC29" s="433"/>
      <c r="BD29" s="433"/>
      <c r="BE29" s="433"/>
      <c r="BF29" s="433"/>
      <c r="BG29" s="621">
        <f ca="1">IF(Build!AD521,OFFSET(Spells!AN$2,Build!AD521,0),"")</f>
      </c>
      <c r="BH29" s="621"/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76"/>
    </row>
    <row r="30" spans="1:84" ht="12.75" customHeight="1">
      <c r="A30" s="675"/>
      <c r="B30" s="433"/>
      <c r="C30" s="433"/>
      <c r="D30" s="603">
        <f ca="1">IF(Build!AD522,OFFSET(Spells!AF$2,Build!AD522,0),"")</f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  <c r="R30" s="603"/>
      <c r="S30" s="433">
        <f ca="1">IF(Build!AD522,OFFSET(Spells!AG$2,Build!AD522,0),"")</f>
      </c>
      <c r="T30" s="433"/>
      <c r="U30" s="433"/>
      <c r="V30" s="433">
        <f ca="1">IF(Build!AD522,OFFSET(Spells!AH$2,Build!AD522,0),"")</f>
      </c>
      <c r="W30" s="433"/>
      <c r="X30" s="433"/>
      <c r="Y30" s="678">
        <f ca="1">IF(Build!AD522,OFFSET(Spells!AI$2,Build!AD522,0),"")</f>
      </c>
      <c r="Z30" s="678"/>
      <c r="AA30" s="678"/>
      <c r="AB30" s="678"/>
      <c r="AC30" s="678"/>
      <c r="AD30" s="433">
        <f ca="1">IF(Build!AD522,OFFSET(Spells!AJ$2,Build!AD522,0),"")</f>
      </c>
      <c r="AE30" s="433"/>
      <c r="AF30" s="433"/>
      <c r="AG30" s="433"/>
      <c r="AH30" s="433"/>
      <c r="AI30" s="433">
        <f ca="1">IF(Build!AD522,OFFSET(Spells!AK$2,Build!AD522,0),"")</f>
      </c>
      <c r="AJ30" s="433"/>
      <c r="AK30" s="433"/>
      <c r="AL30" s="433"/>
      <c r="AM30" s="433"/>
      <c r="AN30" s="433"/>
      <c r="AO30" s="433">
        <f ca="1">IF(AND(Build!AD522,LEN(OFFSET(Spells!AL$2,Build!AD522,0))&lt;5),OFFSET(Spells!AL$2,Build!AD522,0),"")</f>
      </c>
      <c r="AP30" s="433"/>
      <c r="AQ30" s="433"/>
      <c r="AR30" s="148">
        <f t="shared" si="0"/>
      </c>
      <c r="AS30" s="433">
        <f>IF(AO30&lt;&gt;"",VLOOKUP(LEFT(AO30,FIND("+",AO30&amp;"+")-1),Build!X$480:Y$486,2,0)+IF(LEN(AO30)&gt;2,MID(AO30,FIND("+",AO30&amp;"+")+1,2),0),"")</f>
      </c>
      <c r="AT30" s="433"/>
      <c r="AU30" s="433">
        <f ca="1" t="shared" si="1"/>
      </c>
      <c r="AV30" s="433"/>
      <c r="AW30" s="433"/>
      <c r="AX30" s="433"/>
      <c r="AY30" s="433"/>
      <c r="AZ30" s="433"/>
      <c r="BA30" s="433"/>
      <c r="BB30" s="433">
        <f ca="1">IF(Build!AD522,OFFSET(Spells!AM$2,Build!AD522,0),"")</f>
      </c>
      <c r="BC30" s="433"/>
      <c r="BD30" s="433"/>
      <c r="BE30" s="433"/>
      <c r="BF30" s="433"/>
      <c r="BG30" s="621">
        <f ca="1">IF(Build!AD522,OFFSET(Spells!AN$2,Build!AD522,0),"")</f>
      </c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76"/>
    </row>
    <row r="31" spans="1:84" ht="12.75" customHeight="1">
      <c r="A31" s="675"/>
      <c r="B31" s="433"/>
      <c r="C31" s="433"/>
      <c r="D31" s="603">
        <f ca="1">IF(Build!AD523,OFFSET(Spells!AF$2,Build!AD523,0),"")</f>
      </c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433">
        <f ca="1">IF(Build!AD523,OFFSET(Spells!AG$2,Build!AD523,0),"")</f>
      </c>
      <c r="T31" s="433"/>
      <c r="U31" s="433"/>
      <c r="V31" s="433">
        <f ca="1">IF(Build!AD523,OFFSET(Spells!AH$2,Build!AD523,0),"")</f>
      </c>
      <c r="W31" s="433"/>
      <c r="X31" s="433"/>
      <c r="Y31" s="678">
        <f ca="1">IF(Build!AD523,OFFSET(Spells!AI$2,Build!AD523,0),"")</f>
      </c>
      <c r="Z31" s="678"/>
      <c r="AA31" s="678"/>
      <c r="AB31" s="678"/>
      <c r="AC31" s="678"/>
      <c r="AD31" s="433">
        <f ca="1">IF(Build!AD523,OFFSET(Spells!AJ$2,Build!AD523,0),"")</f>
      </c>
      <c r="AE31" s="433"/>
      <c r="AF31" s="433"/>
      <c r="AG31" s="433"/>
      <c r="AH31" s="433"/>
      <c r="AI31" s="433">
        <f ca="1">IF(Build!AD523,OFFSET(Spells!AK$2,Build!AD523,0),"")</f>
      </c>
      <c r="AJ31" s="433"/>
      <c r="AK31" s="433"/>
      <c r="AL31" s="433"/>
      <c r="AM31" s="433"/>
      <c r="AN31" s="433"/>
      <c r="AO31" s="433">
        <f ca="1">IF(AND(Build!AD523,LEN(OFFSET(Spells!AL$2,Build!AD523,0))&lt;5),OFFSET(Spells!AL$2,Build!AD523,0),"")</f>
      </c>
      <c r="AP31" s="433"/>
      <c r="AQ31" s="433"/>
      <c r="AR31" s="148">
        <f t="shared" si="0"/>
      </c>
      <c r="AS31" s="433">
        <f>IF(AO31&lt;&gt;"",VLOOKUP(LEFT(AO31,FIND("+",AO31&amp;"+")-1),Build!X$480:Y$486,2,0)+IF(LEN(AO31)&gt;2,MID(AO31,FIND("+",AO31&amp;"+")+1,2),0),"")</f>
      </c>
      <c r="AT31" s="433"/>
      <c r="AU31" s="433">
        <f ca="1" t="shared" si="1"/>
      </c>
      <c r="AV31" s="433"/>
      <c r="AW31" s="433"/>
      <c r="AX31" s="433"/>
      <c r="AY31" s="433"/>
      <c r="AZ31" s="433"/>
      <c r="BA31" s="433"/>
      <c r="BB31" s="433">
        <f ca="1">IF(Build!AD523,OFFSET(Spells!AM$2,Build!AD523,0),"")</f>
      </c>
      <c r="BC31" s="433"/>
      <c r="BD31" s="433"/>
      <c r="BE31" s="433"/>
      <c r="BF31" s="433"/>
      <c r="BG31" s="621">
        <f ca="1">IF(Build!AD523,OFFSET(Spells!AN$2,Build!AD523,0),"")</f>
      </c>
      <c r="BH31" s="621"/>
      <c r="BI31" s="621"/>
      <c r="BJ31" s="621"/>
      <c r="BK31" s="621"/>
      <c r="BL31" s="621"/>
      <c r="BM31" s="621"/>
      <c r="BN31" s="621"/>
      <c r="BO31" s="621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621"/>
      <c r="CD31" s="621"/>
      <c r="CE31" s="621"/>
      <c r="CF31" s="676"/>
    </row>
    <row r="32" spans="1:84" ht="12.75" customHeight="1">
      <c r="A32" s="675"/>
      <c r="B32" s="433"/>
      <c r="C32" s="433"/>
      <c r="D32" s="603">
        <f ca="1">IF(Build!AD524,OFFSET(Spells!AF$2,Build!AD524,0),"")</f>
      </c>
      <c r="E32" s="603"/>
      <c r="F32" s="603"/>
      <c r="G32" s="603"/>
      <c r="H32" s="603"/>
      <c r="I32" s="603"/>
      <c r="J32" s="603"/>
      <c r="K32" s="603"/>
      <c r="L32" s="603"/>
      <c r="M32" s="603"/>
      <c r="N32" s="603"/>
      <c r="O32" s="603"/>
      <c r="P32" s="603"/>
      <c r="Q32" s="603"/>
      <c r="R32" s="603"/>
      <c r="S32" s="433">
        <f ca="1">IF(Build!AD524,OFFSET(Spells!AG$2,Build!AD524,0),"")</f>
      </c>
      <c r="T32" s="433"/>
      <c r="U32" s="433"/>
      <c r="V32" s="433">
        <f ca="1">IF(Build!AD524,OFFSET(Spells!AH$2,Build!AD524,0),"")</f>
      </c>
      <c r="W32" s="433"/>
      <c r="X32" s="433"/>
      <c r="Y32" s="678">
        <f ca="1">IF(Build!AD524,OFFSET(Spells!AI$2,Build!AD524,0),"")</f>
      </c>
      <c r="Z32" s="678"/>
      <c r="AA32" s="678"/>
      <c r="AB32" s="678"/>
      <c r="AC32" s="678"/>
      <c r="AD32" s="433">
        <f ca="1">IF(Build!AD524,OFFSET(Spells!AJ$2,Build!AD524,0),"")</f>
      </c>
      <c r="AE32" s="433"/>
      <c r="AF32" s="433"/>
      <c r="AG32" s="433"/>
      <c r="AH32" s="433"/>
      <c r="AI32" s="433">
        <f ca="1">IF(Build!AD524,OFFSET(Spells!AK$2,Build!AD524,0),"")</f>
      </c>
      <c r="AJ32" s="433"/>
      <c r="AK32" s="433"/>
      <c r="AL32" s="433"/>
      <c r="AM32" s="433"/>
      <c r="AN32" s="433"/>
      <c r="AO32" s="433">
        <f ca="1">IF(AND(Build!AD524,LEN(OFFSET(Spells!AL$2,Build!AD524,0))&lt;5),OFFSET(Spells!AL$2,Build!AD524,0),"")</f>
      </c>
      <c r="AP32" s="433"/>
      <c r="AQ32" s="433"/>
      <c r="AR32" s="148">
        <f t="shared" si="0"/>
      </c>
      <c r="AS32" s="433">
        <f>IF(AO32&lt;&gt;"",VLOOKUP(LEFT(AO32,FIND("+",AO32&amp;"+")-1),Build!X$480:Y$486,2,0)+IF(LEN(AO32)&gt;2,MID(AO32,FIND("+",AO32&amp;"+")+1,2),0),"")</f>
      </c>
      <c r="AT32" s="433"/>
      <c r="AU32" s="433">
        <f ca="1" t="shared" si="1"/>
      </c>
      <c r="AV32" s="433"/>
      <c r="AW32" s="433"/>
      <c r="AX32" s="433"/>
      <c r="AY32" s="433"/>
      <c r="AZ32" s="433"/>
      <c r="BA32" s="433"/>
      <c r="BB32" s="433">
        <f ca="1">IF(Build!AD524,OFFSET(Spells!AM$2,Build!AD524,0),"")</f>
      </c>
      <c r="BC32" s="433"/>
      <c r="BD32" s="433"/>
      <c r="BE32" s="433"/>
      <c r="BF32" s="433"/>
      <c r="BG32" s="621">
        <f ca="1">IF(Build!AD524,OFFSET(Spells!AN$2,Build!AD524,0),"")</f>
      </c>
      <c r="BH32" s="621"/>
      <c r="BI32" s="621"/>
      <c r="BJ32" s="621"/>
      <c r="BK32" s="621"/>
      <c r="BL32" s="621"/>
      <c r="BM32" s="621"/>
      <c r="BN32" s="621"/>
      <c r="BO32" s="621"/>
      <c r="BP32" s="621"/>
      <c r="BQ32" s="621"/>
      <c r="BR32" s="621"/>
      <c r="BS32" s="621"/>
      <c r="BT32" s="621"/>
      <c r="BU32" s="621"/>
      <c r="BV32" s="621"/>
      <c r="BW32" s="621"/>
      <c r="BX32" s="621"/>
      <c r="BY32" s="621"/>
      <c r="BZ32" s="621"/>
      <c r="CA32" s="621"/>
      <c r="CB32" s="621"/>
      <c r="CC32" s="621"/>
      <c r="CD32" s="621"/>
      <c r="CE32" s="621"/>
      <c r="CF32" s="676"/>
    </row>
    <row r="33" spans="1:84" ht="12.75" customHeight="1">
      <c r="A33" s="675"/>
      <c r="B33" s="433"/>
      <c r="C33" s="433"/>
      <c r="D33" s="603">
        <f ca="1">IF(Build!AD525,OFFSET(Spells!AF$2,Build!AD525,0),"")</f>
      </c>
      <c r="E33" s="603"/>
      <c r="F33" s="603"/>
      <c r="G33" s="603"/>
      <c r="H33" s="603"/>
      <c r="I33" s="603"/>
      <c r="J33" s="603"/>
      <c r="K33" s="603"/>
      <c r="L33" s="603"/>
      <c r="M33" s="603"/>
      <c r="N33" s="603"/>
      <c r="O33" s="603"/>
      <c r="P33" s="603"/>
      <c r="Q33" s="603"/>
      <c r="R33" s="603"/>
      <c r="S33" s="433">
        <f ca="1">IF(Build!AD525,OFFSET(Spells!AG$2,Build!AD525,0),"")</f>
      </c>
      <c r="T33" s="433"/>
      <c r="U33" s="433"/>
      <c r="V33" s="433">
        <f ca="1">IF(Build!AD525,OFFSET(Spells!AH$2,Build!AD525,0),"")</f>
      </c>
      <c r="W33" s="433"/>
      <c r="X33" s="433"/>
      <c r="Y33" s="678">
        <f ca="1">IF(Build!AD525,OFFSET(Spells!AI$2,Build!AD525,0),"")</f>
      </c>
      <c r="Z33" s="678"/>
      <c r="AA33" s="678"/>
      <c r="AB33" s="678"/>
      <c r="AC33" s="678"/>
      <c r="AD33" s="433">
        <f ca="1">IF(Build!AD525,OFFSET(Spells!AJ$2,Build!AD525,0),"")</f>
      </c>
      <c r="AE33" s="433"/>
      <c r="AF33" s="433"/>
      <c r="AG33" s="433"/>
      <c r="AH33" s="433"/>
      <c r="AI33" s="433">
        <f ca="1">IF(Build!AD525,OFFSET(Spells!AK$2,Build!AD525,0),"")</f>
      </c>
      <c r="AJ33" s="433"/>
      <c r="AK33" s="433"/>
      <c r="AL33" s="433"/>
      <c r="AM33" s="433"/>
      <c r="AN33" s="433"/>
      <c r="AO33" s="433">
        <f ca="1">IF(AND(Build!AD525,LEN(OFFSET(Spells!AL$2,Build!AD525,0))&lt;5),OFFSET(Spells!AL$2,Build!AD525,0),"")</f>
      </c>
      <c r="AP33" s="433"/>
      <c r="AQ33" s="433"/>
      <c r="AR33" s="148">
        <f t="shared" si="0"/>
      </c>
      <c r="AS33" s="433">
        <f>IF(AO33&lt;&gt;"",VLOOKUP(LEFT(AO33,FIND("+",AO33&amp;"+")-1),Build!X$480:Y$486,2,0)+IF(LEN(AO33)&gt;2,MID(AO33,FIND("+",AO33&amp;"+")+1,2),0),"")</f>
      </c>
      <c r="AT33" s="433"/>
      <c r="AU33" s="433">
        <f ca="1" t="shared" si="1"/>
      </c>
      <c r="AV33" s="433"/>
      <c r="AW33" s="433"/>
      <c r="AX33" s="433"/>
      <c r="AY33" s="433"/>
      <c r="AZ33" s="433"/>
      <c r="BA33" s="433"/>
      <c r="BB33" s="433">
        <f ca="1">IF(Build!AD525,OFFSET(Spells!AM$2,Build!AD525,0),"")</f>
      </c>
      <c r="BC33" s="433"/>
      <c r="BD33" s="433"/>
      <c r="BE33" s="433"/>
      <c r="BF33" s="433"/>
      <c r="BG33" s="621">
        <f ca="1">IF(Build!AD525,OFFSET(Spells!AN$2,Build!AD525,0),"")</f>
      </c>
      <c r="BH33" s="621"/>
      <c r="BI33" s="621"/>
      <c r="BJ33" s="621"/>
      <c r="BK33" s="621"/>
      <c r="BL33" s="621"/>
      <c r="BM33" s="621"/>
      <c r="BN33" s="621"/>
      <c r="BO33" s="621"/>
      <c r="BP33" s="621"/>
      <c r="BQ33" s="621"/>
      <c r="BR33" s="621"/>
      <c r="BS33" s="621"/>
      <c r="BT33" s="621"/>
      <c r="BU33" s="621"/>
      <c r="BV33" s="621"/>
      <c r="BW33" s="621"/>
      <c r="BX33" s="621"/>
      <c r="BY33" s="621"/>
      <c r="BZ33" s="621"/>
      <c r="CA33" s="621"/>
      <c r="CB33" s="621"/>
      <c r="CC33" s="621"/>
      <c r="CD33" s="621"/>
      <c r="CE33" s="621"/>
      <c r="CF33" s="676"/>
    </row>
    <row r="34" spans="1:84" ht="12.75" customHeight="1">
      <c r="A34" s="675"/>
      <c r="B34" s="433"/>
      <c r="C34" s="433"/>
      <c r="D34" s="603">
        <f ca="1">IF(Build!AD526,OFFSET(Spells!AF$2,Build!AD526,0),"")</f>
      </c>
      <c r="E34" s="603"/>
      <c r="F34" s="603"/>
      <c r="G34" s="603"/>
      <c r="H34" s="603"/>
      <c r="I34" s="603"/>
      <c r="J34" s="603"/>
      <c r="K34" s="603"/>
      <c r="L34" s="603"/>
      <c r="M34" s="603"/>
      <c r="N34" s="603"/>
      <c r="O34" s="603"/>
      <c r="P34" s="603"/>
      <c r="Q34" s="603"/>
      <c r="R34" s="603"/>
      <c r="S34" s="433">
        <f ca="1">IF(Build!AD526,OFFSET(Spells!AG$2,Build!AD526,0),"")</f>
      </c>
      <c r="T34" s="433"/>
      <c r="U34" s="433"/>
      <c r="V34" s="433">
        <f ca="1">IF(Build!AD526,OFFSET(Spells!AH$2,Build!AD526,0),"")</f>
      </c>
      <c r="W34" s="433"/>
      <c r="X34" s="433"/>
      <c r="Y34" s="678">
        <f ca="1">IF(Build!AD526,OFFSET(Spells!AI$2,Build!AD526,0),"")</f>
      </c>
      <c r="Z34" s="678"/>
      <c r="AA34" s="678"/>
      <c r="AB34" s="678"/>
      <c r="AC34" s="678"/>
      <c r="AD34" s="433">
        <f ca="1">IF(Build!AD526,OFFSET(Spells!AJ$2,Build!AD526,0),"")</f>
      </c>
      <c r="AE34" s="433"/>
      <c r="AF34" s="433"/>
      <c r="AG34" s="433"/>
      <c r="AH34" s="433"/>
      <c r="AI34" s="433">
        <f ca="1">IF(Build!AD526,OFFSET(Spells!AK$2,Build!AD526,0),"")</f>
      </c>
      <c r="AJ34" s="433"/>
      <c r="AK34" s="433"/>
      <c r="AL34" s="433"/>
      <c r="AM34" s="433"/>
      <c r="AN34" s="433"/>
      <c r="AO34" s="433">
        <f ca="1">IF(AND(Build!AD526,LEN(OFFSET(Spells!AL$2,Build!AD526,0))&lt;5),OFFSET(Spells!AL$2,Build!AD526,0),"")</f>
      </c>
      <c r="AP34" s="433"/>
      <c r="AQ34" s="433"/>
      <c r="AR34" s="148">
        <f t="shared" si="0"/>
      </c>
      <c r="AS34" s="433">
        <f>IF(AO34&lt;&gt;"",VLOOKUP(LEFT(AO34,FIND("+",AO34&amp;"+")-1),Build!X$480:Y$486,2,0)+IF(LEN(AO34)&gt;2,MID(AO34,FIND("+",AO34&amp;"+")+1,2),0),"")</f>
      </c>
      <c r="AT34" s="433"/>
      <c r="AU34" s="433">
        <f ca="1" t="shared" si="1"/>
      </c>
      <c r="AV34" s="433"/>
      <c r="AW34" s="433"/>
      <c r="AX34" s="433"/>
      <c r="AY34" s="433"/>
      <c r="AZ34" s="433"/>
      <c r="BA34" s="433"/>
      <c r="BB34" s="433">
        <f ca="1">IF(Build!AD526,OFFSET(Spells!AM$2,Build!AD526,0),"")</f>
      </c>
      <c r="BC34" s="433"/>
      <c r="BD34" s="433"/>
      <c r="BE34" s="433"/>
      <c r="BF34" s="433"/>
      <c r="BG34" s="621">
        <f ca="1">IF(Build!AD526,OFFSET(Spells!AN$2,Build!AD526,0),"")</f>
      </c>
      <c r="BH34" s="621"/>
      <c r="BI34" s="621"/>
      <c r="BJ34" s="621"/>
      <c r="BK34" s="621"/>
      <c r="BL34" s="621"/>
      <c r="BM34" s="621"/>
      <c r="BN34" s="621"/>
      <c r="BO34" s="621"/>
      <c r="BP34" s="621"/>
      <c r="BQ34" s="621"/>
      <c r="BR34" s="621"/>
      <c r="BS34" s="621"/>
      <c r="BT34" s="621"/>
      <c r="BU34" s="621"/>
      <c r="BV34" s="621"/>
      <c r="BW34" s="621"/>
      <c r="BX34" s="621"/>
      <c r="BY34" s="621"/>
      <c r="BZ34" s="621"/>
      <c r="CA34" s="621"/>
      <c r="CB34" s="621"/>
      <c r="CC34" s="621"/>
      <c r="CD34" s="621"/>
      <c r="CE34" s="621"/>
      <c r="CF34" s="676"/>
    </row>
    <row r="35" spans="1:84" ht="12.75" customHeight="1">
      <c r="A35" s="675"/>
      <c r="B35" s="433"/>
      <c r="C35" s="433"/>
      <c r="D35" s="603">
        <f ca="1">IF(Build!AD527,OFFSET(Spells!AF$2,Build!AD527,0),"")</f>
      </c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433">
        <f ca="1">IF(Build!AD527,OFFSET(Spells!AG$2,Build!AD527,0),"")</f>
      </c>
      <c r="T35" s="433"/>
      <c r="U35" s="433"/>
      <c r="V35" s="433">
        <f ca="1">IF(Build!AD527,OFFSET(Spells!AH$2,Build!AD527,0),"")</f>
      </c>
      <c r="W35" s="433"/>
      <c r="X35" s="433"/>
      <c r="Y35" s="678">
        <f ca="1">IF(Build!AD527,OFFSET(Spells!AI$2,Build!AD527,0),"")</f>
      </c>
      <c r="Z35" s="678"/>
      <c r="AA35" s="678"/>
      <c r="AB35" s="678"/>
      <c r="AC35" s="678"/>
      <c r="AD35" s="433">
        <f ca="1">IF(Build!AD527,OFFSET(Spells!AJ$2,Build!AD527,0),"")</f>
      </c>
      <c r="AE35" s="433"/>
      <c r="AF35" s="433"/>
      <c r="AG35" s="433"/>
      <c r="AH35" s="433"/>
      <c r="AI35" s="433">
        <f ca="1">IF(Build!AD527,OFFSET(Spells!AK$2,Build!AD527,0),"")</f>
      </c>
      <c r="AJ35" s="433"/>
      <c r="AK35" s="433"/>
      <c r="AL35" s="433"/>
      <c r="AM35" s="433"/>
      <c r="AN35" s="433"/>
      <c r="AO35" s="433">
        <f ca="1">IF(AND(Build!AD527,LEN(OFFSET(Spells!AL$2,Build!AD527,0))&lt;5),OFFSET(Spells!AL$2,Build!AD527,0),"")</f>
      </c>
      <c r="AP35" s="433"/>
      <c r="AQ35" s="433"/>
      <c r="AR35" s="148">
        <f t="shared" si="0"/>
      </c>
      <c r="AS35" s="433">
        <f>IF(AO35&lt;&gt;"",VLOOKUP(LEFT(AO35,FIND("+",AO35&amp;"+")-1),Build!X$480:Y$486,2,0)+IF(LEN(AO35)&gt;2,MID(AO35,FIND("+",AO35&amp;"+")+1,2),0),"")</f>
      </c>
      <c r="AT35" s="433"/>
      <c r="AU35" s="433">
        <f ca="1" t="shared" si="1"/>
      </c>
      <c r="AV35" s="433"/>
      <c r="AW35" s="433"/>
      <c r="AX35" s="433"/>
      <c r="AY35" s="433"/>
      <c r="AZ35" s="433"/>
      <c r="BA35" s="433"/>
      <c r="BB35" s="433">
        <f ca="1">IF(Build!AD527,OFFSET(Spells!AM$2,Build!AD527,0),"")</f>
      </c>
      <c r="BC35" s="433"/>
      <c r="BD35" s="433"/>
      <c r="BE35" s="433"/>
      <c r="BF35" s="433"/>
      <c r="BG35" s="621">
        <f ca="1">IF(Build!AD527,OFFSET(Spells!AN$2,Build!AD527,0),"")</f>
      </c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621"/>
      <c r="CD35" s="621"/>
      <c r="CE35" s="621"/>
      <c r="CF35" s="676"/>
    </row>
    <row r="36" spans="1:84" ht="12.75" customHeight="1">
      <c r="A36" s="675"/>
      <c r="B36" s="433"/>
      <c r="C36" s="433"/>
      <c r="D36" s="603">
        <f ca="1">IF(Build!AD528,OFFSET(Spells!AF$2,Build!AD528,0),"")</f>
      </c>
      <c r="E36" s="603"/>
      <c r="F36" s="603"/>
      <c r="G36" s="603"/>
      <c r="H36" s="603"/>
      <c r="I36" s="603"/>
      <c r="J36" s="603"/>
      <c r="K36" s="603"/>
      <c r="L36" s="603"/>
      <c r="M36" s="603"/>
      <c r="N36" s="603"/>
      <c r="O36" s="603"/>
      <c r="P36" s="603"/>
      <c r="Q36" s="603"/>
      <c r="R36" s="603"/>
      <c r="S36" s="433">
        <f ca="1">IF(Build!AD528,OFFSET(Spells!AG$2,Build!AD528,0),"")</f>
      </c>
      <c r="T36" s="433"/>
      <c r="U36" s="433"/>
      <c r="V36" s="433">
        <f ca="1">IF(Build!AD528,OFFSET(Spells!AH$2,Build!AD528,0),"")</f>
      </c>
      <c r="W36" s="433"/>
      <c r="X36" s="433"/>
      <c r="Y36" s="678">
        <f ca="1">IF(Build!AD528,OFFSET(Spells!AI$2,Build!AD528,0),"")</f>
      </c>
      <c r="Z36" s="678"/>
      <c r="AA36" s="678"/>
      <c r="AB36" s="678"/>
      <c r="AC36" s="678"/>
      <c r="AD36" s="433">
        <f ca="1">IF(Build!AD528,OFFSET(Spells!AJ$2,Build!AD528,0),"")</f>
      </c>
      <c r="AE36" s="433"/>
      <c r="AF36" s="433"/>
      <c r="AG36" s="433"/>
      <c r="AH36" s="433"/>
      <c r="AI36" s="433">
        <f ca="1">IF(Build!AD528,OFFSET(Spells!AK$2,Build!AD528,0),"")</f>
      </c>
      <c r="AJ36" s="433"/>
      <c r="AK36" s="433"/>
      <c r="AL36" s="433"/>
      <c r="AM36" s="433"/>
      <c r="AN36" s="433"/>
      <c r="AO36" s="433">
        <f ca="1">IF(AND(Build!AD528,LEN(OFFSET(Spells!AL$2,Build!AD528,0))&lt;5),OFFSET(Spells!AL$2,Build!AD528,0),"")</f>
      </c>
      <c r="AP36" s="433"/>
      <c r="AQ36" s="433"/>
      <c r="AR36" s="148">
        <f t="shared" si="0"/>
      </c>
      <c r="AS36" s="433">
        <f>IF(AO36&lt;&gt;"",VLOOKUP(LEFT(AO36,FIND("+",AO36&amp;"+")-1),Build!X$480:Y$486,2,0)+IF(LEN(AO36)&gt;2,MID(AO36,FIND("+",AO36&amp;"+")+1,2),0),"")</f>
      </c>
      <c r="AT36" s="433"/>
      <c r="AU36" s="433">
        <f ca="1" t="shared" si="1"/>
      </c>
      <c r="AV36" s="433"/>
      <c r="AW36" s="433"/>
      <c r="AX36" s="433"/>
      <c r="AY36" s="433"/>
      <c r="AZ36" s="433"/>
      <c r="BA36" s="433"/>
      <c r="BB36" s="433">
        <f ca="1">IF(Build!AD528,OFFSET(Spells!AM$2,Build!AD528,0),"")</f>
      </c>
      <c r="BC36" s="433"/>
      <c r="BD36" s="433"/>
      <c r="BE36" s="433"/>
      <c r="BF36" s="433"/>
      <c r="BG36" s="621">
        <f ca="1">IF(Build!AD528,OFFSET(Spells!AN$2,Build!AD528,0),"")</f>
      </c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621"/>
      <c r="CD36" s="621"/>
      <c r="CE36" s="621"/>
      <c r="CF36" s="676"/>
    </row>
    <row r="37" spans="1:84" ht="12.75" customHeight="1">
      <c r="A37" s="675"/>
      <c r="B37" s="433"/>
      <c r="C37" s="433"/>
      <c r="D37" s="603">
        <f ca="1">IF(Build!AD529,OFFSET(Spells!AF$2,Build!AD529,0),"")</f>
      </c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433">
        <f ca="1">IF(Build!AD529,OFFSET(Spells!AG$2,Build!AD529,0),"")</f>
      </c>
      <c r="T37" s="433"/>
      <c r="U37" s="433"/>
      <c r="V37" s="433">
        <f ca="1">IF(Build!AD529,OFFSET(Spells!AH$2,Build!AD529,0),"")</f>
      </c>
      <c r="W37" s="433"/>
      <c r="X37" s="433"/>
      <c r="Y37" s="678">
        <f ca="1">IF(Build!AD529,OFFSET(Spells!AI$2,Build!AD529,0),"")</f>
      </c>
      <c r="Z37" s="678"/>
      <c r="AA37" s="678"/>
      <c r="AB37" s="678"/>
      <c r="AC37" s="678"/>
      <c r="AD37" s="433">
        <f ca="1">IF(Build!AD529,OFFSET(Spells!AJ$2,Build!AD529,0),"")</f>
      </c>
      <c r="AE37" s="433"/>
      <c r="AF37" s="433"/>
      <c r="AG37" s="433"/>
      <c r="AH37" s="433"/>
      <c r="AI37" s="433">
        <f ca="1">IF(Build!AD529,OFFSET(Spells!AK$2,Build!AD529,0),"")</f>
      </c>
      <c r="AJ37" s="433"/>
      <c r="AK37" s="433"/>
      <c r="AL37" s="433"/>
      <c r="AM37" s="433"/>
      <c r="AN37" s="433"/>
      <c r="AO37" s="433">
        <f ca="1">IF(AND(Build!AD529,LEN(OFFSET(Spells!AL$2,Build!AD529,0))&lt;5),OFFSET(Spells!AL$2,Build!AD529,0),"")</f>
      </c>
      <c r="AP37" s="433"/>
      <c r="AQ37" s="433"/>
      <c r="AR37" s="148">
        <f t="shared" si="0"/>
      </c>
      <c r="AS37" s="433">
        <f>IF(AO37&lt;&gt;"",VLOOKUP(LEFT(AO37,FIND("+",AO37&amp;"+")-1),Build!X$480:Y$486,2,0)+IF(LEN(AO37)&gt;2,MID(AO37,FIND("+",AO37&amp;"+")+1,2),0),"")</f>
      </c>
      <c r="AT37" s="433"/>
      <c r="AU37" s="433">
        <f ca="1" t="shared" si="1"/>
      </c>
      <c r="AV37" s="433"/>
      <c r="AW37" s="433"/>
      <c r="AX37" s="433"/>
      <c r="AY37" s="433"/>
      <c r="AZ37" s="433"/>
      <c r="BA37" s="433"/>
      <c r="BB37" s="433">
        <f ca="1">IF(Build!AD529,OFFSET(Spells!AM$2,Build!AD529,0),"")</f>
      </c>
      <c r="BC37" s="433"/>
      <c r="BD37" s="433"/>
      <c r="BE37" s="433"/>
      <c r="BF37" s="433"/>
      <c r="BG37" s="621">
        <f ca="1">IF(Build!AD529,OFFSET(Spells!AN$2,Build!AD529,0),"")</f>
      </c>
      <c r="BH37" s="621"/>
      <c r="BI37" s="621"/>
      <c r="BJ37" s="621"/>
      <c r="BK37" s="621"/>
      <c r="BL37" s="621"/>
      <c r="BM37" s="621"/>
      <c r="BN37" s="621"/>
      <c r="BO37" s="621"/>
      <c r="BP37" s="621"/>
      <c r="BQ37" s="621"/>
      <c r="BR37" s="621"/>
      <c r="BS37" s="621"/>
      <c r="BT37" s="621"/>
      <c r="BU37" s="621"/>
      <c r="BV37" s="621"/>
      <c r="BW37" s="621"/>
      <c r="BX37" s="621"/>
      <c r="BY37" s="621"/>
      <c r="BZ37" s="621"/>
      <c r="CA37" s="621"/>
      <c r="CB37" s="621"/>
      <c r="CC37" s="621"/>
      <c r="CD37" s="621"/>
      <c r="CE37" s="621"/>
      <c r="CF37" s="676"/>
    </row>
    <row r="38" spans="1:84" ht="12.75" customHeight="1">
      <c r="A38" s="675"/>
      <c r="B38" s="433"/>
      <c r="C38" s="433"/>
      <c r="D38" s="603">
        <f ca="1">IF(Build!AD530,OFFSET(Spells!AF$2,Build!AD530,0),"")</f>
      </c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433">
        <f ca="1">IF(Build!AD530,OFFSET(Spells!AG$2,Build!AD530,0),"")</f>
      </c>
      <c r="T38" s="433"/>
      <c r="U38" s="433"/>
      <c r="V38" s="433">
        <f ca="1">IF(Build!AD530,OFFSET(Spells!AH$2,Build!AD530,0),"")</f>
      </c>
      <c r="W38" s="433"/>
      <c r="X38" s="433"/>
      <c r="Y38" s="678">
        <f ca="1">IF(Build!AD530,OFFSET(Spells!AI$2,Build!AD530,0),"")</f>
      </c>
      <c r="Z38" s="678"/>
      <c r="AA38" s="678"/>
      <c r="AB38" s="678"/>
      <c r="AC38" s="678"/>
      <c r="AD38" s="433">
        <f ca="1">IF(Build!AD530,OFFSET(Spells!AJ$2,Build!AD530,0),"")</f>
      </c>
      <c r="AE38" s="433"/>
      <c r="AF38" s="433"/>
      <c r="AG38" s="433"/>
      <c r="AH38" s="433"/>
      <c r="AI38" s="433">
        <f ca="1">IF(Build!AD530,OFFSET(Spells!AK$2,Build!AD530,0),"")</f>
      </c>
      <c r="AJ38" s="433"/>
      <c r="AK38" s="433"/>
      <c r="AL38" s="433"/>
      <c r="AM38" s="433"/>
      <c r="AN38" s="433"/>
      <c r="AO38" s="433">
        <f ca="1">IF(AND(Build!AD530,LEN(OFFSET(Spells!AL$2,Build!AD530,0))&lt;5),OFFSET(Spells!AL$2,Build!AD530,0),"")</f>
      </c>
      <c r="AP38" s="433"/>
      <c r="AQ38" s="433"/>
      <c r="AR38" s="148">
        <f t="shared" si="0"/>
      </c>
      <c r="AS38" s="433">
        <f>IF(AO38&lt;&gt;"",VLOOKUP(LEFT(AO38,FIND("+",AO38&amp;"+")-1),Build!X$480:Y$486,2,0)+IF(LEN(AO38)&gt;2,MID(AO38,FIND("+",AO38&amp;"+")+1,2),0),"")</f>
      </c>
      <c r="AT38" s="433"/>
      <c r="AU38" s="433">
        <f ca="1" t="shared" si="1"/>
      </c>
      <c r="AV38" s="433"/>
      <c r="AW38" s="433"/>
      <c r="AX38" s="433"/>
      <c r="AY38" s="433"/>
      <c r="AZ38" s="433"/>
      <c r="BA38" s="433"/>
      <c r="BB38" s="433">
        <f ca="1">IF(Build!AD530,OFFSET(Spells!AM$2,Build!AD530,0),"")</f>
      </c>
      <c r="BC38" s="433"/>
      <c r="BD38" s="433"/>
      <c r="BE38" s="433"/>
      <c r="BF38" s="433"/>
      <c r="BG38" s="621">
        <f ca="1">IF(Build!AD530,OFFSET(Spells!AN$2,Build!AD530,0),"")</f>
      </c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621"/>
      <c r="CD38" s="621"/>
      <c r="CE38" s="621"/>
      <c r="CF38" s="676"/>
    </row>
    <row r="39" spans="1:84" ht="12.75" customHeight="1">
      <c r="A39" s="675"/>
      <c r="B39" s="433"/>
      <c r="C39" s="433"/>
      <c r="D39" s="603">
        <f ca="1">IF(Build!AD531,OFFSET(Spells!AF$2,Build!AD531,0),"")</f>
      </c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603"/>
      <c r="R39" s="603"/>
      <c r="S39" s="433">
        <f ca="1">IF(Build!AD531,OFFSET(Spells!AG$2,Build!AD531,0),"")</f>
      </c>
      <c r="T39" s="433"/>
      <c r="U39" s="433"/>
      <c r="V39" s="433">
        <f ca="1">IF(Build!AD531,OFFSET(Spells!AH$2,Build!AD531,0),"")</f>
      </c>
      <c r="W39" s="433"/>
      <c r="X39" s="433"/>
      <c r="Y39" s="678">
        <f ca="1">IF(Build!AD531,OFFSET(Spells!AI$2,Build!AD531,0),"")</f>
      </c>
      <c r="Z39" s="678"/>
      <c r="AA39" s="678"/>
      <c r="AB39" s="678"/>
      <c r="AC39" s="678"/>
      <c r="AD39" s="433">
        <f ca="1">IF(Build!AD531,OFFSET(Spells!AJ$2,Build!AD531,0),"")</f>
      </c>
      <c r="AE39" s="433"/>
      <c r="AF39" s="433"/>
      <c r="AG39" s="433"/>
      <c r="AH39" s="433"/>
      <c r="AI39" s="433">
        <f ca="1">IF(Build!AD531,OFFSET(Spells!AK$2,Build!AD531,0),"")</f>
      </c>
      <c r="AJ39" s="433"/>
      <c r="AK39" s="433"/>
      <c r="AL39" s="433"/>
      <c r="AM39" s="433"/>
      <c r="AN39" s="433"/>
      <c r="AO39" s="433">
        <f ca="1">IF(AND(Build!AD531,LEN(OFFSET(Spells!AL$2,Build!AD531,0))&lt;5),OFFSET(Spells!AL$2,Build!AD531,0),"")</f>
      </c>
      <c r="AP39" s="433"/>
      <c r="AQ39" s="433"/>
      <c r="AR39" s="148">
        <f t="shared" si="0"/>
      </c>
      <c r="AS39" s="433">
        <f>IF(AO39&lt;&gt;"",VLOOKUP(LEFT(AO39,FIND("+",AO39&amp;"+")-1),Build!X$480:Y$486,2,0)+IF(LEN(AO39)&gt;2,MID(AO39,FIND("+",AO39&amp;"+")+1,2),0),"")</f>
      </c>
      <c r="AT39" s="433"/>
      <c r="AU39" s="433">
        <f ca="1" t="shared" si="1"/>
      </c>
      <c r="AV39" s="433"/>
      <c r="AW39" s="433"/>
      <c r="AX39" s="433"/>
      <c r="AY39" s="433"/>
      <c r="AZ39" s="433"/>
      <c r="BA39" s="433"/>
      <c r="BB39" s="433">
        <f ca="1">IF(Build!AD531,OFFSET(Spells!AM$2,Build!AD531,0),"")</f>
      </c>
      <c r="BC39" s="433"/>
      <c r="BD39" s="433"/>
      <c r="BE39" s="433"/>
      <c r="BF39" s="433"/>
      <c r="BG39" s="621">
        <f ca="1">IF(Build!AD531,OFFSET(Spells!AN$2,Build!AD531,0),"")</f>
      </c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621"/>
      <c r="CD39" s="621"/>
      <c r="CE39" s="621"/>
      <c r="CF39" s="676"/>
    </row>
    <row r="40" spans="1:84" ht="12.75" customHeight="1">
      <c r="A40" s="675"/>
      <c r="B40" s="433"/>
      <c r="C40" s="433"/>
      <c r="D40" s="603">
        <f ca="1">IF(Build!AD532,OFFSET(Spells!AF$2,Build!AD532,0),"")</f>
      </c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603"/>
      <c r="R40" s="603"/>
      <c r="S40" s="433">
        <f ca="1">IF(Build!AD532,OFFSET(Spells!AG$2,Build!AD532,0),"")</f>
      </c>
      <c r="T40" s="433"/>
      <c r="U40" s="433"/>
      <c r="V40" s="433">
        <f ca="1">IF(Build!AD532,OFFSET(Spells!AH$2,Build!AD532,0),"")</f>
      </c>
      <c r="W40" s="433"/>
      <c r="X40" s="433"/>
      <c r="Y40" s="678">
        <f ca="1">IF(Build!AD532,OFFSET(Spells!AI$2,Build!AD532,0),"")</f>
      </c>
      <c r="Z40" s="678"/>
      <c r="AA40" s="678"/>
      <c r="AB40" s="678"/>
      <c r="AC40" s="678"/>
      <c r="AD40" s="433">
        <f ca="1">IF(Build!AD532,OFFSET(Spells!AJ$2,Build!AD532,0),"")</f>
      </c>
      <c r="AE40" s="433"/>
      <c r="AF40" s="433"/>
      <c r="AG40" s="433"/>
      <c r="AH40" s="433"/>
      <c r="AI40" s="433">
        <f ca="1">IF(Build!AD532,OFFSET(Spells!AK$2,Build!AD532,0),"")</f>
      </c>
      <c r="AJ40" s="433"/>
      <c r="AK40" s="433"/>
      <c r="AL40" s="433"/>
      <c r="AM40" s="433"/>
      <c r="AN40" s="433"/>
      <c r="AO40" s="433">
        <f ca="1">IF(AND(Build!AD532,LEN(OFFSET(Spells!AL$2,Build!AD532,0))&lt;5),OFFSET(Spells!AL$2,Build!AD532,0),"")</f>
      </c>
      <c r="AP40" s="433"/>
      <c r="AQ40" s="433"/>
      <c r="AR40" s="148">
        <f t="shared" si="0"/>
      </c>
      <c r="AS40" s="433">
        <f>IF(AO40&lt;&gt;"",VLOOKUP(LEFT(AO40,FIND("+",AO40&amp;"+")-1),Build!X$480:Y$486,2,0)+IF(LEN(AO40)&gt;2,MID(AO40,FIND("+",AO40&amp;"+")+1,2),0),"")</f>
      </c>
      <c r="AT40" s="433"/>
      <c r="AU40" s="433">
        <f ca="1" t="shared" si="1"/>
      </c>
      <c r="AV40" s="433"/>
      <c r="AW40" s="433"/>
      <c r="AX40" s="433"/>
      <c r="AY40" s="433"/>
      <c r="AZ40" s="433"/>
      <c r="BA40" s="433"/>
      <c r="BB40" s="433">
        <f ca="1">IF(Build!AD532,OFFSET(Spells!AM$2,Build!AD532,0),"")</f>
      </c>
      <c r="BC40" s="433"/>
      <c r="BD40" s="433"/>
      <c r="BE40" s="433"/>
      <c r="BF40" s="433"/>
      <c r="BG40" s="621">
        <f ca="1">IF(Build!AD532,OFFSET(Spells!AN$2,Build!AD532,0),"")</f>
      </c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  <c r="CC40" s="621"/>
      <c r="CD40" s="621"/>
      <c r="CE40" s="621"/>
      <c r="CF40" s="676"/>
    </row>
    <row r="41" spans="1:84" ht="12.75" customHeight="1">
      <c r="A41" s="675"/>
      <c r="B41" s="433"/>
      <c r="C41" s="433"/>
      <c r="D41" s="603">
        <f ca="1">IF(Build!AD533,OFFSET(Spells!AF$2,Build!AD533,0),"")</f>
      </c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433">
        <f ca="1">IF(Build!AD533,OFFSET(Spells!AG$2,Build!AD533,0),"")</f>
      </c>
      <c r="T41" s="433"/>
      <c r="U41" s="433"/>
      <c r="V41" s="433">
        <f ca="1">IF(Build!AD533,OFFSET(Spells!AH$2,Build!AD533,0),"")</f>
      </c>
      <c r="W41" s="433"/>
      <c r="X41" s="433"/>
      <c r="Y41" s="678">
        <f ca="1">IF(Build!AD533,OFFSET(Spells!AI$2,Build!AD533,0),"")</f>
      </c>
      <c r="Z41" s="678"/>
      <c r="AA41" s="678"/>
      <c r="AB41" s="678"/>
      <c r="AC41" s="678"/>
      <c r="AD41" s="433">
        <f ca="1">IF(Build!AD533,OFFSET(Spells!AJ$2,Build!AD533,0),"")</f>
      </c>
      <c r="AE41" s="433"/>
      <c r="AF41" s="433"/>
      <c r="AG41" s="433"/>
      <c r="AH41" s="433"/>
      <c r="AI41" s="433">
        <f ca="1">IF(Build!AD533,OFFSET(Spells!AK$2,Build!AD533,0),"")</f>
      </c>
      <c r="AJ41" s="433"/>
      <c r="AK41" s="433"/>
      <c r="AL41" s="433"/>
      <c r="AM41" s="433"/>
      <c r="AN41" s="433"/>
      <c r="AO41" s="433">
        <f ca="1">IF(AND(Build!AD533,LEN(OFFSET(Spells!AL$2,Build!AD533,0))&lt;5),OFFSET(Spells!AL$2,Build!AD533,0),"")</f>
      </c>
      <c r="AP41" s="433"/>
      <c r="AQ41" s="433"/>
      <c r="AR41" s="148">
        <f t="shared" si="0"/>
      </c>
      <c r="AS41" s="433">
        <f>IF(AO41&lt;&gt;"",VLOOKUP(LEFT(AO41,FIND("+",AO41&amp;"+")-1),Build!X$480:Y$486,2,0)+IF(LEN(AO41)&gt;2,MID(AO41,FIND("+",AO41&amp;"+")+1,2),0),"")</f>
      </c>
      <c r="AT41" s="433"/>
      <c r="AU41" s="433">
        <f ca="1" t="shared" si="1"/>
      </c>
      <c r="AV41" s="433"/>
      <c r="AW41" s="433"/>
      <c r="AX41" s="433"/>
      <c r="AY41" s="433"/>
      <c r="AZ41" s="433"/>
      <c r="BA41" s="433"/>
      <c r="BB41" s="433">
        <f ca="1">IF(Build!AD533,OFFSET(Spells!AM$2,Build!AD533,0),"")</f>
      </c>
      <c r="BC41" s="433"/>
      <c r="BD41" s="433"/>
      <c r="BE41" s="433"/>
      <c r="BF41" s="433"/>
      <c r="BG41" s="621">
        <f ca="1">IF(Build!AD533,OFFSET(Spells!AN$2,Build!AD533,0),"")</f>
      </c>
      <c r="BH41" s="621"/>
      <c r="BI41" s="621"/>
      <c r="BJ41" s="621"/>
      <c r="BK41" s="621"/>
      <c r="BL41" s="621"/>
      <c r="BM41" s="621"/>
      <c r="BN41" s="621"/>
      <c r="BO41" s="621"/>
      <c r="BP41" s="621"/>
      <c r="BQ41" s="621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1"/>
      <c r="CC41" s="621"/>
      <c r="CD41" s="621"/>
      <c r="CE41" s="621"/>
      <c r="CF41" s="676"/>
    </row>
    <row r="42" spans="1:84" ht="12.75" customHeight="1">
      <c r="A42" s="675"/>
      <c r="B42" s="433"/>
      <c r="C42" s="433"/>
      <c r="D42" s="603">
        <f ca="1">IF(Build!AD534,OFFSET(Spells!AF$2,Build!AD534,0),"")</f>
      </c>
      <c r="E42" s="603"/>
      <c r="F42" s="603"/>
      <c r="G42" s="603"/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433">
        <f ca="1">IF(Build!AD534,OFFSET(Spells!AG$2,Build!AD534,0),"")</f>
      </c>
      <c r="T42" s="433"/>
      <c r="U42" s="433"/>
      <c r="V42" s="433">
        <f ca="1">IF(Build!AD534,OFFSET(Spells!AH$2,Build!AD534,0),"")</f>
      </c>
      <c r="W42" s="433"/>
      <c r="X42" s="433"/>
      <c r="Y42" s="678">
        <f ca="1">IF(Build!AD534,OFFSET(Spells!AI$2,Build!AD534,0),"")</f>
      </c>
      <c r="Z42" s="678"/>
      <c r="AA42" s="678"/>
      <c r="AB42" s="678"/>
      <c r="AC42" s="678"/>
      <c r="AD42" s="433">
        <f ca="1">IF(Build!AD534,OFFSET(Spells!AJ$2,Build!AD534,0),"")</f>
      </c>
      <c r="AE42" s="433"/>
      <c r="AF42" s="433"/>
      <c r="AG42" s="433"/>
      <c r="AH42" s="433"/>
      <c r="AI42" s="433">
        <f ca="1">IF(Build!AD534,OFFSET(Spells!AK$2,Build!AD534,0),"")</f>
      </c>
      <c r="AJ42" s="433"/>
      <c r="AK42" s="433"/>
      <c r="AL42" s="433"/>
      <c r="AM42" s="433"/>
      <c r="AN42" s="433"/>
      <c r="AO42" s="433">
        <f ca="1">IF(AND(Build!AD534,LEN(OFFSET(Spells!AL$2,Build!AD534,0))&lt;5),OFFSET(Spells!AL$2,Build!AD534,0),"")</f>
      </c>
      <c r="AP42" s="433"/>
      <c r="AQ42" s="433"/>
      <c r="AR42" s="148">
        <f t="shared" si="0"/>
      </c>
      <c r="AS42" s="433">
        <f>IF(AO42&lt;&gt;"",VLOOKUP(LEFT(AO42,FIND("+",AO42&amp;"+")-1),Build!X$480:Y$486,2,0)+IF(LEN(AO42)&gt;2,MID(AO42,FIND("+",AO42&amp;"+")+1,2),0),"")</f>
      </c>
      <c r="AT42" s="433"/>
      <c r="AU42" s="433">
        <f ca="1" t="shared" si="1"/>
      </c>
      <c r="AV42" s="433"/>
      <c r="AW42" s="433"/>
      <c r="AX42" s="433"/>
      <c r="AY42" s="433"/>
      <c r="AZ42" s="433"/>
      <c r="BA42" s="433"/>
      <c r="BB42" s="433">
        <f ca="1">IF(Build!AD534,OFFSET(Spells!AM$2,Build!AD534,0),"")</f>
      </c>
      <c r="BC42" s="433"/>
      <c r="BD42" s="433"/>
      <c r="BE42" s="433"/>
      <c r="BF42" s="433"/>
      <c r="BG42" s="621">
        <f ca="1">IF(Build!AD534,OFFSET(Spells!AN$2,Build!AD534,0),"")</f>
      </c>
      <c r="BH42" s="621"/>
      <c r="BI42" s="621"/>
      <c r="BJ42" s="621"/>
      <c r="BK42" s="621"/>
      <c r="BL42" s="621"/>
      <c r="BM42" s="621"/>
      <c r="BN42" s="621"/>
      <c r="BO42" s="621"/>
      <c r="BP42" s="621"/>
      <c r="BQ42" s="621"/>
      <c r="BR42" s="621"/>
      <c r="BS42" s="621"/>
      <c r="BT42" s="621"/>
      <c r="BU42" s="621"/>
      <c r="BV42" s="621"/>
      <c r="BW42" s="621"/>
      <c r="BX42" s="621"/>
      <c r="BY42" s="621"/>
      <c r="BZ42" s="621"/>
      <c r="CA42" s="621"/>
      <c r="CB42" s="621"/>
      <c r="CC42" s="621"/>
      <c r="CD42" s="621"/>
      <c r="CE42" s="621"/>
      <c r="CF42" s="676"/>
    </row>
  </sheetData>
  <mergeCells count="457">
    <mergeCell ref="BB42:BF42"/>
    <mergeCell ref="BG42:CF42"/>
    <mergeCell ref="V41:X41"/>
    <mergeCell ref="Y41:AC41"/>
    <mergeCell ref="AO41:AQ41"/>
    <mergeCell ref="AS41:AT41"/>
    <mergeCell ref="BB41:BF41"/>
    <mergeCell ref="BG41:CF41"/>
    <mergeCell ref="V42:X42"/>
    <mergeCell ref="Y42:AC42"/>
    <mergeCell ref="V40:X40"/>
    <mergeCell ref="Y40:AC40"/>
    <mergeCell ref="AO40:AQ40"/>
    <mergeCell ref="AS40:AT40"/>
    <mergeCell ref="V39:X39"/>
    <mergeCell ref="Y39:AC39"/>
    <mergeCell ref="AO39:AQ39"/>
    <mergeCell ref="AS39:AT39"/>
    <mergeCell ref="AD39:AH39"/>
    <mergeCell ref="AI39:AN39"/>
    <mergeCell ref="BB37:BF37"/>
    <mergeCell ref="BG37:CF37"/>
    <mergeCell ref="V38:X38"/>
    <mergeCell ref="Y38:AC38"/>
    <mergeCell ref="AO38:AQ38"/>
    <mergeCell ref="AS38:AT38"/>
    <mergeCell ref="AU38:BA38"/>
    <mergeCell ref="BB38:BF38"/>
    <mergeCell ref="BG38:CF38"/>
    <mergeCell ref="V37:X37"/>
    <mergeCell ref="Y37:AC37"/>
    <mergeCell ref="AO37:AQ37"/>
    <mergeCell ref="AS37:AT37"/>
    <mergeCell ref="V36:X36"/>
    <mergeCell ref="Y36:AC36"/>
    <mergeCell ref="AO36:AQ36"/>
    <mergeCell ref="AS36:AT36"/>
    <mergeCell ref="AD36:AH36"/>
    <mergeCell ref="AI36:AN36"/>
    <mergeCell ref="V35:X35"/>
    <mergeCell ref="Y35:AC35"/>
    <mergeCell ref="AO35:AQ35"/>
    <mergeCell ref="AS35:AT35"/>
    <mergeCell ref="AD35:AH35"/>
    <mergeCell ref="AI35:AN35"/>
    <mergeCell ref="V34:X34"/>
    <mergeCell ref="Y34:AC34"/>
    <mergeCell ref="AO34:AQ34"/>
    <mergeCell ref="AS34:AT34"/>
    <mergeCell ref="AD34:AH34"/>
    <mergeCell ref="AI34:AN34"/>
    <mergeCell ref="V33:X33"/>
    <mergeCell ref="Y33:AC33"/>
    <mergeCell ref="AO33:AQ33"/>
    <mergeCell ref="AS33:AT33"/>
    <mergeCell ref="AD33:AH33"/>
    <mergeCell ref="AI33:AN33"/>
    <mergeCell ref="V32:X32"/>
    <mergeCell ref="Y32:AC32"/>
    <mergeCell ref="AO32:AQ32"/>
    <mergeCell ref="AS32:AT32"/>
    <mergeCell ref="AD32:AH32"/>
    <mergeCell ref="AI32:AN32"/>
    <mergeCell ref="V31:X31"/>
    <mergeCell ref="Y31:AC31"/>
    <mergeCell ref="AO31:AQ31"/>
    <mergeCell ref="AS31:AT31"/>
    <mergeCell ref="AD31:AH31"/>
    <mergeCell ref="AI31:AN31"/>
    <mergeCell ref="BB29:BF29"/>
    <mergeCell ref="BG29:CF29"/>
    <mergeCell ref="V30:X30"/>
    <mergeCell ref="Y30:AC30"/>
    <mergeCell ref="AO30:AQ30"/>
    <mergeCell ref="AS30:AT30"/>
    <mergeCell ref="AU30:BA30"/>
    <mergeCell ref="BB30:BF30"/>
    <mergeCell ref="BG30:CF30"/>
    <mergeCell ref="V29:X29"/>
    <mergeCell ref="Y29:AC29"/>
    <mergeCell ref="AO29:AQ29"/>
    <mergeCell ref="AS29:AT29"/>
    <mergeCell ref="V28:X28"/>
    <mergeCell ref="Y28:AC28"/>
    <mergeCell ref="AO28:AQ28"/>
    <mergeCell ref="AS28:AT28"/>
    <mergeCell ref="AD28:AH28"/>
    <mergeCell ref="AI28:AN28"/>
    <mergeCell ref="V27:X27"/>
    <mergeCell ref="Y27:AC27"/>
    <mergeCell ref="AO27:AQ27"/>
    <mergeCell ref="AS27:AT27"/>
    <mergeCell ref="AD27:AH27"/>
    <mergeCell ref="AI27:AN27"/>
    <mergeCell ref="V26:X26"/>
    <mergeCell ref="Y26:AC26"/>
    <mergeCell ref="AO26:AQ26"/>
    <mergeCell ref="AS26:AT26"/>
    <mergeCell ref="AD26:AH26"/>
    <mergeCell ref="AI26:AN26"/>
    <mergeCell ref="V25:X25"/>
    <mergeCell ref="Y25:AC25"/>
    <mergeCell ref="AO25:AQ25"/>
    <mergeCell ref="AS25:AT25"/>
    <mergeCell ref="AD25:AH25"/>
    <mergeCell ref="AI25:AN25"/>
    <mergeCell ref="V24:X24"/>
    <mergeCell ref="Y24:AC24"/>
    <mergeCell ref="AO24:AQ24"/>
    <mergeCell ref="AS24:AT24"/>
    <mergeCell ref="AD24:AH24"/>
    <mergeCell ref="AI24:AN24"/>
    <mergeCell ref="V23:X23"/>
    <mergeCell ref="Y23:AC23"/>
    <mergeCell ref="AO23:AQ23"/>
    <mergeCell ref="AS23:AT23"/>
    <mergeCell ref="AD23:AH23"/>
    <mergeCell ref="AI23:AN23"/>
    <mergeCell ref="BB21:BF21"/>
    <mergeCell ref="BG21:CF21"/>
    <mergeCell ref="V22:X22"/>
    <mergeCell ref="Y22:AC22"/>
    <mergeCell ref="AO22:AQ22"/>
    <mergeCell ref="AS22:AT22"/>
    <mergeCell ref="AU22:BA22"/>
    <mergeCell ref="BB22:BF22"/>
    <mergeCell ref="BG22:CF22"/>
    <mergeCell ref="V21:X21"/>
    <mergeCell ref="Y21:AC21"/>
    <mergeCell ref="AO21:AQ21"/>
    <mergeCell ref="AS21:AT21"/>
    <mergeCell ref="V20:X20"/>
    <mergeCell ref="Y20:AC20"/>
    <mergeCell ref="AO20:AQ20"/>
    <mergeCell ref="AS20:AT20"/>
    <mergeCell ref="AD20:AH20"/>
    <mergeCell ref="AI20:AN20"/>
    <mergeCell ref="V19:X19"/>
    <mergeCell ref="Y19:AC19"/>
    <mergeCell ref="AO19:AQ19"/>
    <mergeCell ref="AS19:AT19"/>
    <mergeCell ref="AD19:AH19"/>
    <mergeCell ref="AI19:AN19"/>
    <mergeCell ref="V18:X18"/>
    <mergeCell ref="Y18:AC18"/>
    <mergeCell ref="AO18:AQ18"/>
    <mergeCell ref="AS18:AT18"/>
    <mergeCell ref="AD18:AH18"/>
    <mergeCell ref="AI18:AN18"/>
    <mergeCell ref="V17:X17"/>
    <mergeCell ref="Y17:AC17"/>
    <mergeCell ref="AO17:AQ17"/>
    <mergeCell ref="AS17:AT17"/>
    <mergeCell ref="AD17:AH17"/>
    <mergeCell ref="AI17:AN17"/>
    <mergeCell ref="V16:X16"/>
    <mergeCell ref="Y16:AC16"/>
    <mergeCell ref="AO16:AQ16"/>
    <mergeCell ref="AS16:AT16"/>
    <mergeCell ref="AD16:AH16"/>
    <mergeCell ref="AI16:AN16"/>
    <mergeCell ref="V15:X15"/>
    <mergeCell ref="Y15:AC15"/>
    <mergeCell ref="AO15:AQ15"/>
    <mergeCell ref="AS15:AT15"/>
    <mergeCell ref="AD15:AH15"/>
    <mergeCell ref="AI15:AN15"/>
    <mergeCell ref="BB13:BF13"/>
    <mergeCell ref="BG13:CF13"/>
    <mergeCell ref="V14:X14"/>
    <mergeCell ref="Y14:AC14"/>
    <mergeCell ref="AO14:AQ14"/>
    <mergeCell ref="AS14:AT14"/>
    <mergeCell ref="AU14:BA14"/>
    <mergeCell ref="BB14:BF14"/>
    <mergeCell ref="BG14:CF14"/>
    <mergeCell ref="V13:X13"/>
    <mergeCell ref="Y13:AC13"/>
    <mergeCell ref="AO13:AQ13"/>
    <mergeCell ref="AS13:AT13"/>
    <mergeCell ref="V12:X12"/>
    <mergeCell ref="Y12:AC12"/>
    <mergeCell ref="AO12:AQ12"/>
    <mergeCell ref="AS12:AT12"/>
    <mergeCell ref="AD12:AH12"/>
    <mergeCell ref="AI12:AN12"/>
    <mergeCell ref="V11:X11"/>
    <mergeCell ref="Y11:AC11"/>
    <mergeCell ref="AO11:AQ11"/>
    <mergeCell ref="AS11:AT11"/>
    <mergeCell ref="AD11:AH11"/>
    <mergeCell ref="AI11:AN11"/>
    <mergeCell ref="V10:X10"/>
    <mergeCell ref="Y10:AC10"/>
    <mergeCell ref="AO10:AQ10"/>
    <mergeCell ref="AS10:AT10"/>
    <mergeCell ref="AD10:AH10"/>
    <mergeCell ref="AI10:AN10"/>
    <mergeCell ref="V8:X8"/>
    <mergeCell ref="Y8:AC8"/>
    <mergeCell ref="AO8:AQ8"/>
    <mergeCell ref="AS8:AT8"/>
    <mergeCell ref="V7:X7"/>
    <mergeCell ref="Y7:AC7"/>
    <mergeCell ref="AO7:AQ7"/>
    <mergeCell ref="AS7:AT7"/>
    <mergeCell ref="AS6:AT6"/>
    <mergeCell ref="AU6:BA6"/>
    <mergeCell ref="BB6:BF6"/>
    <mergeCell ref="BG6:CF6"/>
    <mergeCell ref="A1:AP5"/>
    <mergeCell ref="V6:X6"/>
    <mergeCell ref="Y6:AC6"/>
    <mergeCell ref="AD6:AH6"/>
    <mergeCell ref="AO6:AQ6"/>
    <mergeCell ref="A6:C6"/>
    <mergeCell ref="A40:C40"/>
    <mergeCell ref="A41:C41"/>
    <mergeCell ref="A31:C31"/>
    <mergeCell ref="A32:C32"/>
    <mergeCell ref="A33:C33"/>
    <mergeCell ref="A34:C34"/>
    <mergeCell ref="A27:C27"/>
    <mergeCell ref="A28:C28"/>
    <mergeCell ref="A42:C42"/>
    <mergeCell ref="A35:C35"/>
    <mergeCell ref="A36:C36"/>
    <mergeCell ref="A37:C37"/>
    <mergeCell ref="A38:C38"/>
    <mergeCell ref="A29:C29"/>
    <mergeCell ref="A30:C30"/>
    <mergeCell ref="A39:C39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BB39:BF39"/>
    <mergeCell ref="BG39:CF39"/>
    <mergeCell ref="BB40:BF40"/>
    <mergeCell ref="BG40:CF40"/>
    <mergeCell ref="BB34:BF34"/>
    <mergeCell ref="BG34:CF34"/>
    <mergeCell ref="BB35:BF35"/>
    <mergeCell ref="BG35:CF35"/>
    <mergeCell ref="BB27:BF27"/>
    <mergeCell ref="BG27:CF27"/>
    <mergeCell ref="BB36:BF36"/>
    <mergeCell ref="BG36:CF36"/>
    <mergeCell ref="BB31:BF31"/>
    <mergeCell ref="BG31:CF31"/>
    <mergeCell ref="BB32:BF32"/>
    <mergeCell ref="BG32:CF32"/>
    <mergeCell ref="BB33:BF33"/>
    <mergeCell ref="BG33:CF33"/>
    <mergeCell ref="BB28:BF28"/>
    <mergeCell ref="BG28:CF28"/>
    <mergeCell ref="BB23:BF23"/>
    <mergeCell ref="BG23:CF23"/>
    <mergeCell ref="BB24:BF24"/>
    <mergeCell ref="BG24:CF24"/>
    <mergeCell ref="BB25:BF25"/>
    <mergeCell ref="BG25:CF25"/>
    <mergeCell ref="BB26:BF26"/>
    <mergeCell ref="BG26:CF26"/>
    <mergeCell ref="BB18:BF18"/>
    <mergeCell ref="BG18:CF18"/>
    <mergeCell ref="BB19:BF19"/>
    <mergeCell ref="BG19:CF19"/>
    <mergeCell ref="BB11:BF11"/>
    <mergeCell ref="BG11:CF11"/>
    <mergeCell ref="BB20:BF20"/>
    <mergeCell ref="BG20:CF20"/>
    <mergeCell ref="BB15:BF15"/>
    <mergeCell ref="BG15:CF15"/>
    <mergeCell ref="BB16:BF16"/>
    <mergeCell ref="BG16:CF16"/>
    <mergeCell ref="BB17:BF17"/>
    <mergeCell ref="BG17:CF17"/>
    <mergeCell ref="BB12:BF12"/>
    <mergeCell ref="BG12:CF12"/>
    <mergeCell ref="BB7:BF7"/>
    <mergeCell ref="BG7:CF7"/>
    <mergeCell ref="BB8:BF8"/>
    <mergeCell ref="BG8:CF8"/>
    <mergeCell ref="BB9:BF9"/>
    <mergeCell ref="BG9:CF9"/>
    <mergeCell ref="BB10:BF10"/>
    <mergeCell ref="BG10:CF10"/>
    <mergeCell ref="AU39:BA39"/>
    <mergeCell ref="AU40:BA40"/>
    <mergeCell ref="AU41:BA41"/>
    <mergeCell ref="AS42:AT42"/>
    <mergeCell ref="AU42:BA42"/>
    <mergeCell ref="AU35:BA35"/>
    <mergeCell ref="AU36:BA36"/>
    <mergeCell ref="AU37:BA37"/>
    <mergeCell ref="AU31:BA31"/>
    <mergeCell ref="AU32:BA32"/>
    <mergeCell ref="AU33:BA33"/>
    <mergeCell ref="AU34:BA34"/>
    <mergeCell ref="AU27:BA27"/>
    <mergeCell ref="AU28:BA28"/>
    <mergeCell ref="AU29:BA29"/>
    <mergeCell ref="AU23:BA23"/>
    <mergeCell ref="AU24:BA24"/>
    <mergeCell ref="AU25:BA25"/>
    <mergeCell ref="AU26:BA26"/>
    <mergeCell ref="AU19:BA19"/>
    <mergeCell ref="AU20:BA20"/>
    <mergeCell ref="AU21:BA21"/>
    <mergeCell ref="AU15:BA15"/>
    <mergeCell ref="AU16:BA16"/>
    <mergeCell ref="AU17:BA17"/>
    <mergeCell ref="AU18:BA18"/>
    <mergeCell ref="AU11:BA11"/>
    <mergeCell ref="AU12:BA12"/>
    <mergeCell ref="AU13:BA13"/>
    <mergeCell ref="AU7:BA7"/>
    <mergeCell ref="AU8:BA8"/>
    <mergeCell ref="AS9:AT9"/>
    <mergeCell ref="AU9:BA9"/>
    <mergeCell ref="AU10:BA10"/>
    <mergeCell ref="AD42:AH42"/>
    <mergeCell ref="AI42:AN42"/>
    <mergeCell ref="AO42:AQ42"/>
    <mergeCell ref="AD41:AH41"/>
    <mergeCell ref="AI41:AN41"/>
    <mergeCell ref="AD40:AH40"/>
    <mergeCell ref="AI40:AN40"/>
    <mergeCell ref="AD38:AH38"/>
    <mergeCell ref="AI38:AN38"/>
    <mergeCell ref="AD37:AH37"/>
    <mergeCell ref="AI37:AN37"/>
    <mergeCell ref="AD30:AH30"/>
    <mergeCell ref="AI30:AN30"/>
    <mergeCell ref="AD29:AH29"/>
    <mergeCell ref="AI29:AN29"/>
    <mergeCell ref="AD22:AH22"/>
    <mergeCell ref="AI22:AN22"/>
    <mergeCell ref="AD21:AH21"/>
    <mergeCell ref="AI21:AN21"/>
    <mergeCell ref="AD14:AH14"/>
    <mergeCell ref="AI14:AN14"/>
    <mergeCell ref="AD13:AH13"/>
    <mergeCell ref="AI13:AN13"/>
    <mergeCell ref="AI9:AN9"/>
    <mergeCell ref="AD9:AH9"/>
    <mergeCell ref="V9:X9"/>
    <mergeCell ref="Y9:AC9"/>
    <mergeCell ref="AO9:AQ9"/>
    <mergeCell ref="S6:U6"/>
    <mergeCell ref="D6:R6"/>
    <mergeCell ref="AD7:AH7"/>
    <mergeCell ref="AD8:AH8"/>
    <mergeCell ref="S7:U7"/>
    <mergeCell ref="S8:U8"/>
    <mergeCell ref="AI6:AN6"/>
    <mergeCell ref="AI7:AN7"/>
    <mergeCell ref="AI8:AN8"/>
    <mergeCell ref="S39:U39"/>
    <mergeCell ref="S40:U40"/>
    <mergeCell ref="S41:U41"/>
    <mergeCell ref="S42:U42"/>
    <mergeCell ref="S35:U35"/>
    <mergeCell ref="S36:U36"/>
    <mergeCell ref="S37:U37"/>
    <mergeCell ref="S38:U38"/>
    <mergeCell ref="S31:U31"/>
    <mergeCell ref="S32:U32"/>
    <mergeCell ref="S33:U33"/>
    <mergeCell ref="S34:U34"/>
    <mergeCell ref="S27:U27"/>
    <mergeCell ref="S28:U28"/>
    <mergeCell ref="S29:U29"/>
    <mergeCell ref="S30:U30"/>
    <mergeCell ref="S23:U23"/>
    <mergeCell ref="S24:U24"/>
    <mergeCell ref="S25:U25"/>
    <mergeCell ref="S26:U26"/>
    <mergeCell ref="S19:U19"/>
    <mergeCell ref="S20:U20"/>
    <mergeCell ref="S21:U21"/>
    <mergeCell ref="S22:U22"/>
    <mergeCell ref="S15:U15"/>
    <mergeCell ref="S16:U16"/>
    <mergeCell ref="S17:U17"/>
    <mergeCell ref="S18:U18"/>
    <mergeCell ref="S11:U11"/>
    <mergeCell ref="S12:U12"/>
    <mergeCell ref="S13:U13"/>
    <mergeCell ref="S14:U14"/>
    <mergeCell ref="S9:U9"/>
    <mergeCell ref="S10:U10"/>
    <mergeCell ref="D39:R39"/>
    <mergeCell ref="D40:R40"/>
    <mergeCell ref="D31:R31"/>
    <mergeCell ref="D32:R32"/>
    <mergeCell ref="D33:R33"/>
    <mergeCell ref="D34:R34"/>
    <mergeCell ref="D27:R27"/>
    <mergeCell ref="D28:R28"/>
    <mergeCell ref="D41:R41"/>
    <mergeCell ref="D42:R42"/>
    <mergeCell ref="D35:R35"/>
    <mergeCell ref="D36:R36"/>
    <mergeCell ref="D37:R37"/>
    <mergeCell ref="D38:R38"/>
    <mergeCell ref="D29:R29"/>
    <mergeCell ref="D30:R30"/>
    <mergeCell ref="D23:R23"/>
    <mergeCell ref="D24:R24"/>
    <mergeCell ref="D25:R25"/>
    <mergeCell ref="D26:R26"/>
    <mergeCell ref="D19:R19"/>
    <mergeCell ref="D20:R20"/>
    <mergeCell ref="D21:R21"/>
    <mergeCell ref="D22:R22"/>
    <mergeCell ref="D15:R15"/>
    <mergeCell ref="D16:R16"/>
    <mergeCell ref="D17:R17"/>
    <mergeCell ref="D18:R18"/>
    <mergeCell ref="D11:R11"/>
    <mergeCell ref="D12:R12"/>
    <mergeCell ref="D13:R13"/>
    <mergeCell ref="D14:R14"/>
    <mergeCell ref="D7:R7"/>
    <mergeCell ref="D8:R8"/>
    <mergeCell ref="D9:R9"/>
    <mergeCell ref="D10:R10"/>
    <mergeCell ref="BS2:BT2"/>
    <mergeCell ref="BS3:BT3"/>
    <mergeCell ref="BS4:BT4"/>
    <mergeCell ref="BV2:BW2"/>
    <mergeCell ref="BV3:BW3"/>
    <mergeCell ref="BV4:BW4"/>
    <mergeCell ref="BY2:BZ2"/>
    <mergeCell ref="BY3:BZ3"/>
    <mergeCell ref="BY4:BZ4"/>
    <mergeCell ref="CA2:CF2"/>
    <mergeCell ref="CA3:CF3"/>
    <mergeCell ref="CA4:CF4"/>
  </mergeCells>
  <printOptions/>
  <pageMargins left="0" right="0" top="0.393700787401575" bottom="0.393700787401575" header="0.118110236220472" footer="0.118110236220472"/>
  <pageSetup orientation="landscape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6"/>
  <dimension ref="B3:AO77"/>
  <sheetViews>
    <sheetView zoomScale="75" zoomScaleNormal="75" workbookViewId="0" topLeftCell="A1">
      <selection activeCell="K1" sqref="K1"/>
    </sheetView>
  </sheetViews>
  <sheetFormatPr defaultColWidth="9.33203125" defaultRowHeight="12.75"/>
  <cols>
    <col min="1" max="1" width="9.33203125" style="41" customWidth="1"/>
    <col min="2" max="2" width="7" style="41" bestFit="1" customWidth="1"/>
    <col min="3" max="3" width="17.66015625" style="41" bestFit="1" customWidth="1"/>
    <col min="4" max="16384" width="10.83203125" style="41" customWidth="1"/>
  </cols>
  <sheetData>
    <row r="3" spans="2:24" ht="12.75">
      <c r="B3" s="43" t="s">
        <v>2554</v>
      </c>
      <c r="C3" s="44"/>
      <c r="F3" s="43" t="s">
        <v>2555</v>
      </c>
      <c r="G3" s="66"/>
      <c r="H3" s="295"/>
      <c r="I3" s="66"/>
      <c r="J3" s="66"/>
      <c r="K3" s="66"/>
      <c r="L3" s="83" t="s">
        <v>1810</v>
      </c>
      <c r="M3" s="66"/>
      <c r="N3" s="84"/>
      <c r="O3" s="87" t="s">
        <v>2592</v>
      </c>
      <c r="P3" s="308"/>
      <c r="Q3" s="309"/>
      <c r="R3" s="309"/>
      <c r="S3" s="684" t="s">
        <v>1802</v>
      </c>
      <c r="T3" s="684"/>
      <c r="U3" s="307" t="s">
        <v>1811</v>
      </c>
      <c r="V3" s="308"/>
      <c r="W3" s="309"/>
      <c r="X3" s="309"/>
    </row>
    <row r="4" spans="2:24" ht="12.75">
      <c r="B4" s="104" t="s">
        <v>2388</v>
      </c>
      <c r="C4" s="105" t="s">
        <v>2421</v>
      </c>
      <c r="E4" s="47" t="s">
        <v>2563</v>
      </c>
      <c r="F4" s="47" t="s">
        <v>1797</v>
      </c>
      <c r="G4" s="48" t="s">
        <v>2374</v>
      </c>
      <c r="H4" s="48" t="s">
        <v>1798</v>
      </c>
      <c r="I4" s="48" t="s">
        <v>1799</v>
      </c>
      <c r="J4" s="48" t="s">
        <v>1800</v>
      </c>
      <c r="K4" s="48" t="s">
        <v>1801</v>
      </c>
      <c r="L4" s="63" t="s">
        <v>1794</v>
      </c>
      <c r="M4" s="318" t="s">
        <v>1760</v>
      </c>
      <c r="N4" s="63" t="s">
        <v>793</v>
      </c>
      <c r="O4" s="47" t="s">
        <v>2487</v>
      </c>
      <c r="P4" s="47" t="s">
        <v>2385</v>
      </c>
      <c r="Q4" s="47" t="s">
        <v>2594</v>
      </c>
      <c r="R4" s="47" t="s">
        <v>2595</v>
      </c>
      <c r="S4" s="58" t="s">
        <v>2403</v>
      </c>
      <c r="T4" s="313" t="s">
        <v>1813</v>
      </c>
      <c r="U4" s="47" t="s">
        <v>1795</v>
      </c>
      <c r="V4" s="47" t="s">
        <v>1796</v>
      </c>
      <c r="W4" s="47" t="s">
        <v>1812</v>
      </c>
      <c r="X4" s="47" t="s">
        <v>2597</v>
      </c>
    </row>
    <row r="5" spans="2:24" ht="12.75">
      <c r="B5" s="52">
        <v>0</v>
      </c>
      <c r="C5" s="53" t="s">
        <v>2415</v>
      </c>
      <c r="E5" s="305" t="s">
        <v>2576</v>
      </c>
      <c r="F5" s="49">
        <v>0</v>
      </c>
      <c r="G5" s="49">
        <v>2</v>
      </c>
      <c r="H5" s="49">
        <v>3</v>
      </c>
      <c r="I5" s="49">
        <v>0</v>
      </c>
      <c r="J5" s="49">
        <v>0</v>
      </c>
      <c r="K5" s="49">
        <v>-2</v>
      </c>
      <c r="L5" s="49">
        <v>-2</v>
      </c>
      <c r="M5" s="75" t="s">
        <v>2586</v>
      </c>
      <c r="N5" s="152" t="s">
        <v>810</v>
      </c>
      <c r="O5" s="52" t="s">
        <v>2417</v>
      </c>
      <c r="P5" s="52">
        <v>10</v>
      </c>
      <c r="Q5" s="52">
        <v>6</v>
      </c>
      <c r="R5" s="52">
        <v>25</v>
      </c>
      <c r="S5" s="290">
        <v>1</v>
      </c>
      <c r="T5" s="52">
        <v>1</v>
      </c>
      <c r="U5" s="52">
        <v>3</v>
      </c>
      <c r="V5" s="52">
        <v>6</v>
      </c>
      <c r="W5" s="52">
        <v>1</v>
      </c>
      <c r="X5" s="52">
        <v>4</v>
      </c>
    </row>
    <row r="6" spans="2:24" ht="12.75">
      <c r="B6" s="102">
        <v>1</v>
      </c>
      <c r="C6" s="101" t="s">
        <v>2412</v>
      </c>
      <c r="E6" s="305" t="s">
        <v>2577</v>
      </c>
      <c r="F6" s="52">
        <v>2</v>
      </c>
      <c r="G6" s="52">
        <v>0</v>
      </c>
      <c r="H6" s="52">
        <v>-2</v>
      </c>
      <c r="I6" s="52">
        <v>1</v>
      </c>
      <c r="J6" s="52">
        <v>1</v>
      </c>
      <c r="K6" s="52">
        <v>1</v>
      </c>
      <c r="L6" s="52">
        <v>1</v>
      </c>
      <c r="M6" s="254" t="s">
        <v>1903</v>
      </c>
      <c r="N6" s="152" t="s">
        <v>811</v>
      </c>
      <c r="O6" s="52" t="s">
        <v>2417</v>
      </c>
      <c r="P6" s="52">
        <v>10</v>
      </c>
      <c r="Q6" s="52">
        <v>5</v>
      </c>
      <c r="R6" s="52">
        <v>25</v>
      </c>
      <c r="S6" s="290">
        <v>1</v>
      </c>
      <c r="T6" s="52">
        <v>1</v>
      </c>
      <c r="U6" s="52">
        <v>3</v>
      </c>
      <c r="V6" s="52">
        <v>6</v>
      </c>
      <c r="W6" s="52">
        <v>1</v>
      </c>
      <c r="X6" s="52">
        <v>6</v>
      </c>
    </row>
    <row r="7" spans="2:24" ht="12.75">
      <c r="B7" s="102">
        <v>2</v>
      </c>
      <c r="C7" s="101" t="s">
        <v>2578</v>
      </c>
      <c r="E7" s="305" t="s">
        <v>2380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254" t="s">
        <v>2587</v>
      </c>
      <c r="N7" s="152" t="s">
        <v>2380</v>
      </c>
      <c r="O7" s="52" t="s">
        <v>2494</v>
      </c>
      <c r="P7" s="52">
        <v>6</v>
      </c>
      <c r="Q7" s="52">
        <v>10</v>
      </c>
      <c r="R7" s="52">
        <v>40</v>
      </c>
      <c r="S7" s="290">
        <v>1</v>
      </c>
      <c r="T7" s="52">
        <v>1</v>
      </c>
      <c r="U7" s="52">
        <v>3</v>
      </c>
      <c r="V7" s="52">
        <v>6</v>
      </c>
      <c r="W7" s="52">
        <v>1</v>
      </c>
      <c r="X7" s="52">
        <v>6</v>
      </c>
    </row>
    <row r="8" spans="2:24" ht="12.75">
      <c r="B8" s="102">
        <v>3</v>
      </c>
      <c r="C8" s="101" t="s">
        <v>2480</v>
      </c>
      <c r="E8" s="305" t="s">
        <v>2579</v>
      </c>
      <c r="F8" s="52">
        <v>-2</v>
      </c>
      <c r="G8" s="52">
        <v>6</v>
      </c>
      <c r="H8" s="52">
        <v>4</v>
      </c>
      <c r="I8" s="52">
        <v>-1</v>
      </c>
      <c r="J8" s="52">
        <v>0</v>
      </c>
      <c r="K8" s="52">
        <v>-1</v>
      </c>
      <c r="L8" s="52">
        <v>-3</v>
      </c>
      <c r="M8" s="75" t="s">
        <v>1904</v>
      </c>
      <c r="N8" s="152" t="s">
        <v>2579</v>
      </c>
      <c r="O8" s="52" t="s">
        <v>2480</v>
      </c>
      <c r="P8" s="52">
        <v>10</v>
      </c>
      <c r="Q8" s="52">
        <v>5</v>
      </c>
      <c r="R8" s="52">
        <v>20</v>
      </c>
      <c r="S8" s="290">
        <v>1</v>
      </c>
      <c r="T8" s="310">
        <v>1</v>
      </c>
      <c r="U8" s="52">
        <v>4</v>
      </c>
      <c r="V8" s="52">
        <v>6</v>
      </c>
      <c r="W8" s="52">
        <v>2</v>
      </c>
      <c r="X8" s="52">
        <v>6</v>
      </c>
    </row>
    <row r="9" spans="2:24" ht="12.75">
      <c r="B9" s="102">
        <v>4</v>
      </c>
      <c r="C9" s="101" t="s">
        <v>2417</v>
      </c>
      <c r="E9" s="305" t="s">
        <v>2580</v>
      </c>
      <c r="F9" s="52">
        <v>-1</v>
      </c>
      <c r="G9" s="52">
        <v>3</v>
      </c>
      <c r="H9" s="52">
        <v>1</v>
      </c>
      <c r="I9" s="52">
        <v>0</v>
      </c>
      <c r="J9" s="52">
        <v>-2</v>
      </c>
      <c r="K9" s="52">
        <v>-1</v>
      </c>
      <c r="L9" s="52">
        <v>2</v>
      </c>
      <c r="M9" s="254" t="s">
        <v>1903</v>
      </c>
      <c r="N9" s="152" t="s">
        <v>2580</v>
      </c>
      <c r="O9" s="52" t="s">
        <v>2494</v>
      </c>
      <c r="P9" s="52">
        <v>7</v>
      </c>
      <c r="Q9" s="52">
        <v>10</v>
      </c>
      <c r="R9" s="52">
        <v>40</v>
      </c>
      <c r="S9" s="290">
        <v>1</v>
      </c>
      <c r="T9" s="310">
        <v>1</v>
      </c>
      <c r="U9" s="52">
        <v>3</v>
      </c>
      <c r="V9" s="52">
        <v>6</v>
      </c>
      <c r="W9" s="52">
        <v>1</v>
      </c>
      <c r="X9" s="52">
        <v>6</v>
      </c>
    </row>
    <row r="10" spans="2:24" ht="12.75">
      <c r="B10" s="102">
        <v>5</v>
      </c>
      <c r="C10" s="101" t="s">
        <v>2494</v>
      </c>
      <c r="E10" s="305" t="s">
        <v>2582</v>
      </c>
      <c r="F10" s="52">
        <v>0</v>
      </c>
      <c r="G10" s="52">
        <v>4</v>
      </c>
      <c r="H10" s="52">
        <v>2</v>
      </c>
      <c r="I10" s="52">
        <v>-1</v>
      </c>
      <c r="J10" s="52">
        <v>1</v>
      </c>
      <c r="K10" s="52">
        <v>0</v>
      </c>
      <c r="L10" s="52">
        <v>0</v>
      </c>
      <c r="M10" s="75" t="s">
        <v>2586</v>
      </c>
      <c r="N10" s="152" t="s">
        <v>2582</v>
      </c>
      <c r="O10" s="52" t="s">
        <v>2480</v>
      </c>
      <c r="P10" s="52">
        <v>10</v>
      </c>
      <c r="Q10" s="52">
        <v>6</v>
      </c>
      <c r="R10" s="52">
        <v>20</v>
      </c>
      <c r="S10" s="290">
        <v>1.25</v>
      </c>
      <c r="T10" s="310">
        <v>1.1</v>
      </c>
      <c r="U10" s="52">
        <v>3</v>
      </c>
      <c r="V10" s="52">
        <v>6</v>
      </c>
      <c r="W10" s="52">
        <v>2</v>
      </c>
      <c r="X10" s="52">
        <v>6</v>
      </c>
    </row>
    <row r="11" spans="2:24" ht="12.75">
      <c r="B11" s="102">
        <v>6</v>
      </c>
      <c r="C11" s="101" t="s">
        <v>2409</v>
      </c>
      <c r="E11" s="305" t="s">
        <v>2581</v>
      </c>
      <c r="F11" s="52">
        <v>1</v>
      </c>
      <c r="G11" s="52">
        <v>0</v>
      </c>
      <c r="H11" s="52">
        <v>1</v>
      </c>
      <c r="I11" s="52">
        <v>0</v>
      </c>
      <c r="J11" s="52">
        <v>0</v>
      </c>
      <c r="K11" s="52">
        <v>1</v>
      </c>
      <c r="L11" s="52">
        <v>0</v>
      </c>
      <c r="M11" s="254" t="s">
        <v>1206</v>
      </c>
      <c r="N11" s="152" t="s">
        <v>2581</v>
      </c>
      <c r="O11" s="52" t="s">
        <v>2417</v>
      </c>
      <c r="P11" s="52">
        <v>8</v>
      </c>
      <c r="Q11" s="52">
        <v>5</v>
      </c>
      <c r="R11" s="52">
        <v>25</v>
      </c>
      <c r="S11" s="310">
        <v>1</v>
      </c>
      <c r="T11" s="310">
        <v>1.1</v>
      </c>
      <c r="U11" s="52">
        <v>4</v>
      </c>
      <c r="V11" s="52">
        <v>6</v>
      </c>
      <c r="W11" s="52">
        <v>1</v>
      </c>
      <c r="X11" s="52">
        <v>6</v>
      </c>
    </row>
    <row r="12" spans="2:24" ht="12.75">
      <c r="B12" s="102">
        <v>7</v>
      </c>
      <c r="C12" s="101" t="s">
        <v>2479</v>
      </c>
      <c r="E12" s="306" t="s">
        <v>2583</v>
      </c>
      <c r="F12" s="45">
        <v>1</v>
      </c>
      <c r="G12" s="45">
        <v>-4</v>
      </c>
      <c r="H12" s="45">
        <v>-3</v>
      </c>
      <c r="I12" s="45">
        <v>1</v>
      </c>
      <c r="J12" s="45">
        <v>0</v>
      </c>
      <c r="K12" s="45">
        <v>2</v>
      </c>
      <c r="L12" s="45">
        <v>2</v>
      </c>
      <c r="M12" s="57" t="s">
        <v>1207</v>
      </c>
      <c r="N12" s="153" t="s">
        <v>2583</v>
      </c>
      <c r="O12" s="45" t="s">
        <v>2409</v>
      </c>
      <c r="P12" s="45">
        <v>5</v>
      </c>
      <c r="Q12" s="45">
        <v>15</v>
      </c>
      <c r="R12" s="45">
        <v>60</v>
      </c>
      <c r="S12" s="311">
        <v>0.2</v>
      </c>
      <c r="T12" s="312">
        <v>1.1</v>
      </c>
      <c r="U12" s="45">
        <v>1</v>
      </c>
      <c r="V12" s="45">
        <v>2</v>
      </c>
      <c r="W12" s="45">
        <v>1</v>
      </c>
      <c r="X12" s="45">
        <v>2</v>
      </c>
    </row>
    <row r="13" spans="2:41" ht="12.75">
      <c r="B13" s="102">
        <v>8</v>
      </c>
      <c r="C13" s="101" t="s">
        <v>2427</v>
      </c>
      <c r="M13" s="85"/>
      <c r="N13" s="139"/>
      <c r="AL13" s="296"/>
      <c r="AM13" s="296"/>
      <c r="AN13" s="296"/>
      <c r="AO13" s="296"/>
    </row>
    <row r="14" spans="2:34" ht="12.75">
      <c r="B14" s="102">
        <v>9</v>
      </c>
      <c r="C14" s="101" t="s">
        <v>2424</v>
      </c>
      <c r="O14" s="67"/>
      <c r="P14" s="67"/>
      <c r="Q14" s="67"/>
      <c r="R14" s="67"/>
      <c r="AE14" s="296"/>
      <c r="AF14" s="296"/>
      <c r="AG14" s="296"/>
      <c r="AH14" s="296"/>
    </row>
    <row r="15" spans="2:34" ht="12.75">
      <c r="B15" s="102">
        <v>10</v>
      </c>
      <c r="C15" s="101" t="s">
        <v>2425</v>
      </c>
      <c r="E15" s="43" t="s">
        <v>2547</v>
      </c>
      <c r="F15" s="66"/>
      <c r="G15" s="66"/>
      <c r="H15" s="66"/>
      <c r="I15" s="66"/>
      <c r="J15" s="295"/>
      <c r="K15" s="295"/>
      <c r="L15" s="66"/>
      <c r="M15" s="66"/>
      <c r="N15" s="66"/>
      <c r="O15" s="44"/>
      <c r="Q15" s="39" t="s">
        <v>1174</v>
      </c>
      <c r="R15" s="297"/>
      <c r="U15" s="39" t="s">
        <v>2556</v>
      </c>
      <c r="V15" s="295"/>
      <c r="W15" s="69"/>
      <c r="X15" s="297"/>
      <c r="Y15" s="685" t="s">
        <v>1807</v>
      </c>
      <c r="Z15" s="685"/>
      <c r="AA15" s="394" t="s">
        <v>1424</v>
      </c>
      <c r="AE15" s="296"/>
      <c r="AF15" s="296"/>
      <c r="AG15" s="296"/>
      <c r="AH15" s="296"/>
    </row>
    <row r="16" spans="2:34" ht="12.75">
      <c r="B16" s="102">
        <v>11</v>
      </c>
      <c r="C16" s="101" t="s">
        <v>2426</v>
      </c>
      <c r="E16" s="60"/>
      <c r="F16" s="61"/>
      <c r="G16" s="83" t="s">
        <v>2548</v>
      </c>
      <c r="H16" s="84"/>
      <c r="I16" s="83" t="s">
        <v>2549</v>
      </c>
      <c r="J16" s="84"/>
      <c r="K16" s="62" t="s">
        <v>2550</v>
      </c>
      <c r="L16" s="62" t="s">
        <v>2551</v>
      </c>
      <c r="M16" s="62" t="s">
        <v>2552</v>
      </c>
      <c r="N16" s="62" t="s">
        <v>2553</v>
      </c>
      <c r="O16" s="62" t="s">
        <v>2402</v>
      </c>
      <c r="Q16" s="58" t="s">
        <v>2387</v>
      </c>
      <c r="R16" s="59" t="s">
        <v>2569</v>
      </c>
      <c r="T16" s="58" t="s">
        <v>2570</v>
      </c>
      <c r="U16" s="70" t="s">
        <v>2571</v>
      </c>
      <c r="V16" s="71" t="s">
        <v>2572</v>
      </c>
      <c r="W16" s="72" t="s">
        <v>2573</v>
      </c>
      <c r="X16" s="70" t="s">
        <v>2574</v>
      </c>
      <c r="Y16" s="389" t="s">
        <v>1808</v>
      </c>
      <c r="Z16" s="314" t="s">
        <v>1809</v>
      </c>
      <c r="AA16" s="318" t="s">
        <v>897</v>
      </c>
      <c r="AE16" s="298"/>
      <c r="AF16" s="298"/>
      <c r="AG16" s="298"/>
      <c r="AH16" s="298"/>
    </row>
    <row r="17" spans="2:34" ht="12.75">
      <c r="B17" s="102">
        <v>12</v>
      </c>
      <c r="C17" s="101" t="s">
        <v>2510</v>
      </c>
      <c r="E17" s="63" t="s">
        <v>2387</v>
      </c>
      <c r="F17" s="64" t="s">
        <v>2557</v>
      </c>
      <c r="G17" s="64" t="s">
        <v>2558</v>
      </c>
      <c r="H17" s="64" t="s">
        <v>2559</v>
      </c>
      <c r="I17" s="64" t="s">
        <v>2561</v>
      </c>
      <c r="J17" s="64" t="s">
        <v>2560</v>
      </c>
      <c r="K17" s="64" t="s">
        <v>2456</v>
      </c>
      <c r="L17" s="64" t="s">
        <v>2456</v>
      </c>
      <c r="M17" s="64" t="s">
        <v>2502</v>
      </c>
      <c r="N17" s="64" t="s">
        <v>2562</v>
      </c>
      <c r="O17" s="64" t="s">
        <v>2454</v>
      </c>
      <c r="Q17" s="299">
        <v>2</v>
      </c>
      <c r="R17" s="300">
        <v>-3</v>
      </c>
      <c r="T17" s="299">
        <v>0</v>
      </c>
      <c r="U17" s="300">
        <v>0</v>
      </c>
      <c r="V17" s="300">
        <v>0</v>
      </c>
      <c r="W17" s="300">
        <v>0</v>
      </c>
      <c r="X17" s="300">
        <v>0</v>
      </c>
      <c r="Y17" s="315" t="s">
        <v>1806</v>
      </c>
      <c r="Z17" s="315" t="s">
        <v>1805</v>
      </c>
      <c r="AA17" s="395">
        <v>0</v>
      </c>
      <c r="AE17" s="298"/>
      <c r="AF17" s="298"/>
      <c r="AG17" s="298"/>
      <c r="AH17" s="298"/>
    </row>
    <row r="18" spans="2:34" ht="12.75">
      <c r="B18" s="102">
        <v>13</v>
      </c>
      <c r="C18" s="101" t="s">
        <v>2512</v>
      </c>
      <c r="E18" s="49">
        <v>1</v>
      </c>
      <c r="F18" s="42">
        <v>2</v>
      </c>
      <c r="G18" s="50">
        <v>25</v>
      </c>
      <c r="H18" s="107">
        <v>13</v>
      </c>
      <c r="I18" s="50">
        <v>10</v>
      </c>
      <c r="J18" s="107">
        <v>20</v>
      </c>
      <c r="K18" s="42">
        <v>19</v>
      </c>
      <c r="L18" s="42">
        <v>10</v>
      </c>
      <c r="M18" s="42">
        <v>3</v>
      </c>
      <c r="N18" s="51" t="s">
        <v>2575</v>
      </c>
      <c r="O18" s="42">
        <v>0</v>
      </c>
      <c r="Q18" s="301">
        <v>3</v>
      </c>
      <c r="R18" s="302">
        <v>-2</v>
      </c>
      <c r="T18" s="301">
        <v>1</v>
      </c>
      <c r="U18" s="302">
        <v>100</v>
      </c>
      <c r="V18" s="302">
        <v>200</v>
      </c>
      <c r="W18" s="302">
        <v>300</v>
      </c>
      <c r="X18" s="302">
        <v>500</v>
      </c>
      <c r="Y18" s="316" t="s">
        <v>746</v>
      </c>
      <c r="Z18" s="316" t="s">
        <v>2545</v>
      </c>
      <c r="AA18" s="396">
        <v>200</v>
      </c>
      <c r="AE18" s="298"/>
      <c r="AF18" s="298"/>
      <c r="AG18" s="298"/>
      <c r="AH18" s="298"/>
    </row>
    <row r="19" spans="2:34" ht="12.75">
      <c r="B19" s="102">
        <v>14</v>
      </c>
      <c r="C19" s="101" t="s">
        <v>2514</v>
      </c>
      <c r="E19" s="52">
        <v>2</v>
      </c>
      <c r="F19" s="53">
        <v>3</v>
      </c>
      <c r="G19" s="54">
        <v>28</v>
      </c>
      <c r="H19" s="55">
        <v>14</v>
      </c>
      <c r="I19" s="54">
        <v>15</v>
      </c>
      <c r="J19" s="55">
        <v>30</v>
      </c>
      <c r="K19" s="53">
        <v>20</v>
      </c>
      <c r="L19" s="53">
        <v>11</v>
      </c>
      <c r="M19" s="53">
        <v>4</v>
      </c>
      <c r="N19" s="54" t="s">
        <v>2575</v>
      </c>
      <c r="O19" s="53">
        <v>0</v>
      </c>
      <c r="Q19" s="301">
        <v>4</v>
      </c>
      <c r="R19" s="302">
        <v>-1</v>
      </c>
      <c r="T19" s="301">
        <v>2</v>
      </c>
      <c r="U19" s="302">
        <v>300</v>
      </c>
      <c r="V19" s="302">
        <v>500</v>
      </c>
      <c r="W19" s="302">
        <v>800</v>
      </c>
      <c r="X19" s="302">
        <v>1300</v>
      </c>
      <c r="Y19" s="316" t="s">
        <v>747</v>
      </c>
      <c r="Z19" s="316" t="s">
        <v>2646</v>
      </c>
      <c r="AA19" s="396">
        <v>500</v>
      </c>
      <c r="AE19" s="298"/>
      <c r="AF19" s="298"/>
      <c r="AG19" s="298"/>
      <c r="AH19" s="298"/>
    </row>
    <row r="20" spans="2:34" ht="12.75">
      <c r="B20" s="102">
        <v>15</v>
      </c>
      <c r="C20" s="101" t="s">
        <v>2516</v>
      </c>
      <c r="E20" s="52">
        <v>3</v>
      </c>
      <c r="F20" s="53">
        <v>3</v>
      </c>
      <c r="G20" s="54">
        <v>30</v>
      </c>
      <c r="H20" s="55">
        <v>15</v>
      </c>
      <c r="I20" s="54">
        <v>20</v>
      </c>
      <c r="J20" s="55">
        <v>40</v>
      </c>
      <c r="K20" s="53">
        <v>22</v>
      </c>
      <c r="L20" s="53">
        <v>13</v>
      </c>
      <c r="M20" s="53">
        <v>4</v>
      </c>
      <c r="N20" s="53">
        <v>1</v>
      </c>
      <c r="O20" s="53">
        <v>0</v>
      </c>
      <c r="Q20" s="301">
        <v>5</v>
      </c>
      <c r="R20" s="302">
        <v>0</v>
      </c>
      <c r="T20" s="301">
        <v>3</v>
      </c>
      <c r="U20" s="302">
        <v>600</v>
      </c>
      <c r="V20" s="302">
        <v>1000</v>
      </c>
      <c r="W20" s="302">
        <v>1600</v>
      </c>
      <c r="X20" s="302">
        <v>2600</v>
      </c>
      <c r="Y20" s="316" t="s">
        <v>748</v>
      </c>
      <c r="Z20" s="316" t="s">
        <v>2666</v>
      </c>
      <c r="AA20" s="396">
        <v>1000</v>
      </c>
      <c r="AE20" s="298"/>
      <c r="AF20" s="298"/>
      <c r="AG20" s="298"/>
      <c r="AH20" s="298"/>
    </row>
    <row r="21" spans="2:34" ht="12.75">
      <c r="B21" s="102">
        <v>16</v>
      </c>
      <c r="C21" s="101" t="s">
        <v>2518</v>
      </c>
      <c r="E21" s="52">
        <v>4</v>
      </c>
      <c r="F21" s="53">
        <v>4</v>
      </c>
      <c r="G21" s="54">
        <v>32</v>
      </c>
      <c r="H21" s="55">
        <v>16</v>
      </c>
      <c r="I21" s="54">
        <v>25</v>
      </c>
      <c r="J21" s="55">
        <v>50</v>
      </c>
      <c r="K21" s="53">
        <v>23</v>
      </c>
      <c r="L21" s="53">
        <v>14</v>
      </c>
      <c r="M21" s="53">
        <v>5</v>
      </c>
      <c r="N21" s="53">
        <v>1</v>
      </c>
      <c r="O21" s="53">
        <v>0</v>
      </c>
      <c r="Q21" s="301">
        <v>6</v>
      </c>
      <c r="R21" s="302">
        <v>1</v>
      </c>
      <c r="T21" s="301">
        <v>4</v>
      </c>
      <c r="U21" s="302">
        <v>1100</v>
      </c>
      <c r="V21" s="302">
        <v>1800</v>
      </c>
      <c r="W21" s="302">
        <v>2900</v>
      </c>
      <c r="X21" s="302">
        <v>4700</v>
      </c>
      <c r="Y21" s="316" t="s">
        <v>749</v>
      </c>
      <c r="Z21" s="316" t="s">
        <v>2685</v>
      </c>
      <c r="AA21" s="396">
        <v>2300</v>
      </c>
      <c r="AE21" s="298"/>
      <c r="AF21" s="298"/>
      <c r="AG21" s="298"/>
      <c r="AH21" s="298"/>
    </row>
    <row r="22" spans="2:34" ht="12.75">
      <c r="B22" s="102">
        <v>17</v>
      </c>
      <c r="C22" s="101" t="s">
        <v>2520</v>
      </c>
      <c r="E22" s="52">
        <v>5</v>
      </c>
      <c r="F22" s="53">
        <v>4</v>
      </c>
      <c r="G22" s="54">
        <v>35</v>
      </c>
      <c r="H22" s="55">
        <v>16</v>
      </c>
      <c r="I22" s="54">
        <v>30</v>
      </c>
      <c r="J22" s="55">
        <v>65</v>
      </c>
      <c r="K22" s="53">
        <v>24</v>
      </c>
      <c r="L22" s="53">
        <v>15</v>
      </c>
      <c r="M22" s="53">
        <v>5</v>
      </c>
      <c r="N22" s="53">
        <v>1</v>
      </c>
      <c r="O22" s="53">
        <v>0</v>
      </c>
      <c r="Q22" s="301">
        <v>7</v>
      </c>
      <c r="R22" s="302">
        <v>2</v>
      </c>
      <c r="T22" s="301">
        <v>5</v>
      </c>
      <c r="U22" s="302">
        <v>1900</v>
      </c>
      <c r="V22" s="302">
        <v>3100</v>
      </c>
      <c r="W22" s="302">
        <v>5000</v>
      </c>
      <c r="X22" s="302">
        <v>8100</v>
      </c>
      <c r="Y22" s="316" t="s">
        <v>750</v>
      </c>
      <c r="Z22" s="316" t="s">
        <v>2694</v>
      </c>
      <c r="AA22" s="396">
        <v>4400</v>
      </c>
      <c r="AE22" s="298"/>
      <c r="AF22" s="298"/>
      <c r="AG22" s="298"/>
      <c r="AH22" s="298"/>
    </row>
    <row r="23" spans="2:34" ht="12.75">
      <c r="B23" s="102">
        <v>18</v>
      </c>
      <c r="C23" s="101" t="s">
        <v>2503</v>
      </c>
      <c r="E23" s="52">
        <v>6</v>
      </c>
      <c r="F23" s="53">
        <v>4</v>
      </c>
      <c r="G23" s="54">
        <v>38</v>
      </c>
      <c r="H23" s="55">
        <v>19</v>
      </c>
      <c r="I23" s="54">
        <v>35</v>
      </c>
      <c r="J23" s="55">
        <v>75</v>
      </c>
      <c r="K23" s="53">
        <v>26</v>
      </c>
      <c r="L23" s="53">
        <v>17</v>
      </c>
      <c r="M23" s="53">
        <v>6</v>
      </c>
      <c r="N23" s="53">
        <v>1</v>
      </c>
      <c r="O23" s="53">
        <v>0</v>
      </c>
      <c r="Q23" s="301">
        <v>8</v>
      </c>
      <c r="R23" s="302">
        <v>3</v>
      </c>
      <c r="T23" s="301">
        <v>6</v>
      </c>
      <c r="U23" s="302">
        <v>3200</v>
      </c>
      <c r="V23" s="302">
        <v>5200</v>
      </c>
      <c r="W23" s="302">
        <v>8400</v>
      </c>
      <c r="X23" s="302">
        <v>13600</v>
      </c>
      <c r="Y23" s="316" t="s">
        <v>751</v>
      </c>
      <c r="Z23" s="316" t="s">
        <v>12</v>
      </c>
      <c r="AA23" s="396">
        <v>7800</v>
      </c>
      <c r="AE23" s="298"/>
      <c r="AF23" s="298"/>
      <c r="AG23" s="298"/>
      <c r="AH23" s="298"/>
    </row>
    <row r="24" spans="2:34" ht="12.75">
      <c r="B24" s="102">
        <v>19</v>
      </c>
      <c r="C24" s="101" t="s">
        <v>2504</v>
      </c>
      <c r="E24" s="52">
        <v>7</v>
      </c>
      <c r="F24" s="53">
        <v>5</v>
      </c>
      <c r="G24" s="54">
        <v>40</v>
      </c>
      <c r="H24" s="55">
        <v>20</v>
      </c>
      <c r="I24" s="54">
        <v>40</v>
      </c>
      <c r="J24" s="55">
        <v>85</v>
      </c>
      <c r="K24" s="53">
        <v>27</v>
      </c>
      <c r="L24" s="53">
        <v>18</v>
      </c>
      <c r="M24" s="53">
        <v>6</v>
      </c>
      <c r="N24" s="53">
        <v>1</v>
      </c>
      <c r="O24" s="53">
        <v>0</v>
      </c>
      <c r="Q24" s="301">
        <v>9</v>
      </c>
      <c r="R24" s="302">
        <v>4</v>
      </c>
      <c r="T24" s="301">
        <v>7</v>
      </c>
      <c r="U24" s="302">
        <v>5300</v>
      </c>
      <c r="V24" s="302">
        <v>8600</v>
      </c>
      <c r="W24" s="302">
        <v>13900</v>
      </c>
      <c r="X24" s="302">
        <v>22500</v>
      </c>
      <c r="Y24" s="316" t="s">
        <v>752</v>
      </c>
      <c r="Z24" s="316" t="s">
        <v>28</v>
      </c>
      <c r="AA24" s="396">
        <v>16700</v>
      </c>
      <c r="AE24" s="298"/>
      <c r="AF24" s="298"/>
      <c r="AG24" s="298"/>
      <c r="AH24" s="298"/>
    </row>
    <row r="25" spans="2:34" ht="12.75">
      <c r="B25" s="102">
        <v>20</v>
      </c>
      <c r="C25" s="101" t="s">
        <v>2505</v>
      </c>
      <c r="E25" s="52">
        <v>8</v>
      </c>
      <c r="F25" s="53">
        <v>5</v>
      </c>
      <c r="G25" s="54">
        <v>43</v>
      </c>
      <c r="H25" s="55">
        <v>22</v>
      </c>
      <c r="I25" s="54">
        <v>50</v>
      </c>
      <c r="J25" s="55">
        <v>100</v>
      </c>
      <c r="K25" s="53">
        <v>28</v>
      </c>
      <c r="L25" s="53">
        <v>19</v>
      </c>
      <c r="M25" s="53">
        <v>7</v>
      </c>
      <c r="N25" s="53">
        <v>2</v>
      </c>
      <c r="O25" s="53">
        <v>0</v>
      </c>
      <c r="Q25" s="301">
        <v>10</v>
      </c>
      <c r="R25" s="302">
        <v>5</v>
      </c>
      <c r="T25" s="301">
        <v>8</v>
      </c>
      <c r="U25" s="302">
        <v>8700</v>
      </c>
      <c r="V25" s="302">
        <v>14100</v>
      </c>
      <c r="W25" s="302">
        <v>22800</v>
      </c>
      <c r="X25" s="302">
        <v>36900</v>
      </c>
      <c r="Y25" s="316" t="s">
        <v>753</v>
      </c>
      <c r="Z25" s="316" t="s">
        <v>42</v>
      </c>
      <c r="AA25" s="396">
        <v>31100</v>
      </c>
      <c r="AE25" s="298"/>
      <c r="AF25" s="298"/>
      <c r="AG25" s="298"/>
      <c r="AH25" s="298"/>
    </row>
    <row r="26" spans="2:34" ht="12.75">
      <c r="B26" s="102">
        <v>21</v>
      </c>
      <c r="C26" s="101" t="s">
        <v>2506</v>
      </c>
      <c r="E26" s="52">
        <v>9</v>
      </c>
      <c r="F26" s="53">
        <v>6</v>
      </c>
      <c r="G26" s="54">
        <v>48</v>
      </c>
      <c r="H26" s="55">
        <v>24</v>
      </c>
      <c r="I26" s="54">
        <v>60</v>
      </c>
      <c r="J26" s="55">
        <v>115</v>
      </c>
      <c r="K26" s="53">
        <v>30</v>
      </c>
      <c r="L26" s="53">
        <v>21</v>
      </c>
      <c r="M26" s="53">
        <v>7</v>
      </c>
      <c r="N26" s="53">
        <v>2</v>
      </c>
      <c r="O26" s="53">
        <v>0</v>
      </c>
      <c r="Q26" s="301">
        <v>11</v>
      </c>
      <c r="R26" s="302">
        <v>6</v>
      </c>
      <c r="T26" s="301">
        <v>9</v>
      </c>
      <c r="U26" s="302">
        <v>14200</v>
      </c>
      <c r="V26" s="302">
        <v>23000</v>
      </c>
      <c r="W26" s="302">
        <v>37200</v>
      </c>
      <c r="X26" s="302">
        <v>60200</v>
      </c>
      <c r="Y26" s="316" t="s">
        <v>754</v>
      </c>
      <c r="Z26" s="316" t="s">
        <v>59</v>
      </c>
      <c r="AA26" s="396">
        <v>54400</v>
      </c>
      <c r="AE26" s="298"/>
      <c r="AF26" s="298"/>
      <c r="AG26" s="298"/>
      <c r="AH26" s="298"/>
    </row>
    <row r="27" spans="2:34" ht="12.75">
      <c r="B27" s="102">
        <v>22</v>
      </c>
      <c r="C27" s="101" t="s">
        <v>2507</v>
      </c>
      <c r="E27" s="52">
        <v>10</v>
      </c>
      <c r="F27" s="53">
        <v>6</v>
      </c>
      <c r="G27" s="54">
        <v>50</v>
      </c>
      <c r="H27" s="55">
        <v>25</v>
      </c>
      <c r="I27" s="54">
        <v>70</v>
      </c>
      <c r="J27" s="55">
        <v>135</v>
      </c>
      <c r="K27" s="53">
        <v>31</v>
      </c>
      <c r="L27" s="53">
        <v>22</v>
      </c>
      <c r="M27" s="53">
        <v>8</v>
      </c>
      <c r="N27" s="53">
        <v>2</v>
      </c>
      <c r="O27" s="53">
        <v>0</v>
      </c>
      <c r="Q27" s="301">
        <v>12</v>
      </c>
      <c r="R27" s="302">
        <v>8</v>
      </c>
      <c r="T27" s="301">
        <v>10</v>
      </c>
      <c r="U27" s="302">
        <v>23100</v>
      </c>
      <c r="V27" s="302">
        <v>37400</v>
      </c>
      <c r="W27" s="302">
        <v>60500</v>
      </c>
      <c r="X27" s="302">
        <v>97900</v>
      </c>
      <c r="Y27" s="316" t="s">
        <v>755</v>
      </c>
      <c r="Z27" s="316" t="s">
        <v>82</v>
      </c>
      <c r="AA27" s="397">
        <v>92100</v>
      </c>
      <c r="AE27" s="298"/>
      <c r="AF27" s="298"/>
      <c r="AG27" s="298"/>
      <c r="AH27" s="298"/>
    </row>
    <row r="28" spans="2:34" ht="12.75">
      <c r="B28" s="102">
        <v>23</v>
      </c>
      <c r="C28" s="101" t="s">
        <v>2508</v>
      </c>
      <c r="E28" s="52">
        <v>11</v>
      </c>
      <c r="F28" s="53">
        <v>7</v>
      </c>
      <c r="G28" s="54">
        <v>54</v>
      </c>
      <c r="H28" s="55">
        <v>27</v>
      </c>
      <c r="I28" s="54">
        <v>80</v>
      </c>
      <c r="J28" s="55">
        <v>160</v>
      </c>
      <c r="K28" s="53">
        <v>32</v>
      </c>
      <c r="L28" s="53">
        <v>24</v>
      </c>
      <c r="M28" s="53">
        <v>8</v>
      </c>
      <c r="N28" s="53">
        <v>2</v>
      </c>
      <c r="O28" s="53">
        <v>1</v>
      </c>
      <c r="Q28" s="301">
        <v>13</v>
      </c>
      <c r="R28" s="302">
        <v>10</v>
      </c>
      <c r="T28" s="301">
        <v>11</v>
      </c>
      <c r="U28" s="302">
        <v>37500</v>
      </c>
      <c r="V28" s="302">
        <v>60700</v>
      </c>
      <c r="W28" s="302">
        <v>98200</v>
      </c>
      <c r="X28" s="302">
        <v>158900</v>
      </c>
      <c r="Y28" s="316" t="s">
        <v>756</v>
      </c>
      <c r="Z28" s="316" t="s">
        <v>100</v>
      </c>
      <c r="AE28" s="298"/>
      <c r="AF28" s="298"/>
      <c r="AG28" s="298"/>
      <c r="AH28" s="298"/>
    </row>
    <row r="29" spans="2:34" ht="12.75">
      <c r="B29" s="102">
        <v>24</v>
      </c>
      <c r="C29" s="101" t="s">
        <v>2509</v>
      </c>
      <c r="E29" s="52">
        <v>12</v>
      </c>
      <c r="F29" s="53">
        <v>7</v>
      </c>
      <c r="G29" s="54">
        <v>57</v>
      </c>
      <c r="H29" s="55">
        <v>29</v>
      </c>
      <c r="I29" s="54">
        <v>90</v>
      </c>
      <c r="J29" s="55">
        <v>185</v>
      </c>
      <c r="K29" s="53">
        <v>34</v>
      </c>
      <c r="L29" s="53">
        <v>26</v>
      </c>
      <c r="M29" s="53">
        <v>9</v>
      </c>
      <c r="N29" s="53">
        <v>2</v>
      </c>
      <c r="O29" s="53">
        <v>1</v>
      </c>
      <c r="Q29" s="301">
        <v>14</v>
      </c>
      <c r="R29" s="302">
        <v>13</v>
      </c>
      <c r="T29" s="301">
        <v>12</v>
      </c>
      <c r="U29" s="302">
        <v>60800</v>
      </c>
      <c r="V29" s="302">
        <v>98400</v>
      </c>
      <c r="W29" s="302">
        <v>159200</v>
      </c>
      <c r="X29" s="302">
        <v>257600</v>
      </c>
      <c r="Y29" s="316" t="s">
        <v>757</v>
      </c>
      <c r="Z29" s="316" t="s">
        <v>114</v>
      </c>
      <c r="AE29" s="298"/>
      <c r="AF29" s="298"/>
      <c r="AG29" s="298"/>
      <c r="AH29" s="298"/>
    </row>
    <row r="30" spans="2:34" ht="12.75">
      <c r="B30" s="102">
        <v>25</v>
      </c>
      <c r="C30" s="101" t="s">
        <v>2511</v>
      </c>
      <c r="E30" s="52">
        <v>13</v>
      </c>
      <c r="F30" s="53">
        <v>7</v>
      </c>
      <c r="G30" s="54">
        <v>60</v>
      </c>
      <c r="H30" s="55">
        <v>30</v>
      </c>
      <c r="I30" s="54">
        <v>105</v>
      </c>
      <c r="J30" s="55">
        <v>210</v>
      </c>
      <c r="K30" s="53">
        <v>35</v>
      </c>
      <c r="L30" s="53">
        <v>27</v>
      </c>
      <c r="M30" s="53">
        <v>9</v>
      </c>
      <c r="N30" s="53">
        <v>2</v>
      </c>
      <c r="O30" s="53">
        <v>1</v>
      </c>
      <c r="Q30" s="301">
        <v>15</v>
      </c>
      <c r="R30" s="302">
        <v>16</v>
      </c>
      <c r="T30" s="301">
        <v>13</v>
      </c>
      <c r="U30" s="302">
        <v>98500</v>
      </c>
      <c r="V30" s="302">
        <v>159400</v>
      </c>
      <c r="W30" s="302">
        <v>257900</v>
      </c>
      <c r="X30" s="302">
        <v>417300</v>
      </c>
      <c r="Y30" s="316" t="s">
        <v>758</v>
      </c>
      <c r="Z30" s="316" t="s">
        <v>127</v>
      </c>
      <c r="AE30" s="298"/>
      <c r="AF30" s="298"/>
      <c r="AG30" s="298"/>
      <c r="AH30" s="298"/>
    </row>
    <row r="31" spans="2:34" ht="12.75">
      <c r="B31" s="102">
        <v>26</v>
      </c>
      <c r="C31" s="101" t="s">
        <v>2513</v>
      </c>
      <c r="E31" s="52">
        <v>14</v>
      </c>
      <c r="F31" s="53">
        <v>8</v>
      </c>
      <c r="G31" s="54">
        <v>65</v>
      </c>
      <c r="H31" s="55">
        <v>33</v>
      </c>
      <c r="I31" s="54">
        <v>125</v>
      </c>
      <c r="J31" s="55">
        <v>250</v>
      </c>
      <c r="K31" s="53">
        <v>36</v>
      </c>
      <c r="L31" s="53">
        <v>28</v>
      </c>
      <c r="M31" s="53">
        <v>10</v>
      </c>
      <c r="N31" s="53">
        <v>3</v>
      </c>
      <c r="O31" s="53">
        <v>2</v>
      </c>
      <c r="Q31" s="301">
        <v>16</v>
      </c>
      <c r="R31" s="302">
        <v>19</v>
      </c>
      <c r="T31" s="301">
        <v>14</v>
      </c>
      <c r="U31" s="302">
        <v>159500</v>
      </c>
      <c r="V31" s="302">
        <v>258100</v>
      </c>
      <c r="W31" s="302">
        <v>417600</v>
      </c>
      <c r="X31" s="302">
        <v>675700</v>
      </c>
      <c r="Y31" s="316" t="s">
        <v>759</v>
      </c>
      <c r="Z31" s="316" t="s">
        <v>136</v>
      </c>
      <c r="AE31" s="298"/>
      <c r="AF31" s="298"/>
      <c r="AG31" s="298"/>
      <c r="AH31" s="298"/>
    </row>
    <row r="32" spans="2:34" ht="12.75">
      <c r="B32" s="102">
        <v>27</v>
      </c>
      <c r="C32" s="101" t="s">
        <v>2515</v>
      </c>
      <c r="E32" s="52">
        <v>15</v>
      </c>
      <c r="F32" s="53">
        <v>8</v>
      </c>
      <c r="G32" s="54">
        <v>70</v>
      </c>
      <c r="H32" s="55">
        <v>35</v>
      </c>
      <c r="I32" s="54">
        <v>145</v>
      </c>
      <c r="J32" s="55">
        <v>290</v>
      </c>
      <c r="K32" s="53">
        <v>38</v>
      </c>
      <c r="L32" s="53">
        <v>29</v>
      </c>
      <c r="M32" s="53">
        <v>10</v>
      </c>
      <c r="N32" s="53">
        <v>3</v>
      </c>
      <c r="O32" s="53">
        <v>2</v>
      </c>
      <c r="Q32" s="301">
        <v>17</v>
      </c>
      <c r="R32" s="302">
        <v>21</v>
      </c>
      <c r="T32" s="303">
        <v>15</v>
      </c>
      <c r="U32" s="304">
        <v>258200</v>
      </c>
      <c r="V32" s="304">
        <v>417800</v>
      </c>
      <c r="W32" s="304">
        <v>676000</v>
      </c>
      <c r="X32" s="304">
        <v>1093800</v>
      </c>
      <c r="Y32" s="317" t="s">
        <v>760</v>
      </c>
      <c r="Z32" s="317" t="s">
        <v>148</v>
      </c>
      <c r="AE32" s="298"/>
      <c r="AF32" s="298"/>
      <c r="AG32" s="298"/>
      <c r="AH32" s="298"/>
    </row>
    <row r="33" spans="2:34" ht="12.75">
      <c r="B33" s="102">
        <v>28</v>
      </c>
      <c r="C33" s="101" t="s">
        <v>2517</v>
      </c>
      <c r="E33" s="52">
        <v>16</v>
      </c>
      <c r="F33" s="53">
        <v>9</v>
      </c>
      <c r="G33" s="54">
        <v>75</v>
      </c>
      <c r="H33" s="55">
        <v>38</v>
      </c>
      <c r="I33" s="54">
        <v>165</v>
      </c>
      <c r="J33" s="55">
        <v>310</v>
      </c>
      <c r="K33" s="53">
        <v>39</v>
      </c>
      <c r="L33" s="53">
        <v>31</v>
      </c>
      <c r="M33" s="53">
        <v>11</v>
      </c>
      <c r="N33" s="53">
        <v>3</v>
      </c>
      <c r="O33" s="53">
        <v>2</v>
      </c>
      <c r="Q33" s="303">
        <v>18</v>
      </c>
      <c r="R33" s="304">
        <v>23</v>
      </c>
      <c r="W33" s="296"/>
      <c r="X33" s="296"/>
      <c r="Y33" s="296"/>
      <c r="Z33" s="296"/>
      <c r="AA33" s="296"/>
      <c r="AE33" s="298"/>
      <c r="AF33" s="298"/>
      <c r="AG33" s="298"/>
      <c r="AH33" s="298"/>
    </row>
    <row r="34" spans="2:31" ht="12.75">
      <c r="B34" s="102">
        <v>29</v>
      </c>
      <c r="C34" s="101" t="s">
        <v>2519</v>
      </c>
      <c r="E34" s="52">
        <v>17</v>
      </c>
      <c r="F34" s="53">
        <v>9</v>
      </c>
      <c r="G34" s="54">
        <v>80</v>
      </c>
      <c r="H34" s="55">
        <v>40</v>
      </c>
      <c r="I34" s="54">
        <v>200</v>
      </c>
      <c r="J34" s="55">
        <v>400</v>
      </c>
      <c r="K34" s="53">
        <v>40</v>
      </c>
      <c r="L34" s="53">
        <v>32</v>
      </c>
      <c r="M34" s="53">
        <v>11</v>
      </c>
      <c r="N34" s="53">
        <v>3</v>
      </c>
      <c r="O34" s="53">
        <v>3</v>
      </c>
      <c r="X34" s="296"/>
      <c r="Y34" s="296"/>
      <c r="Z34" s="296"/>
      <c r="AA34" s="296"/>
      <c r="AB34" s="296"/>
      <c r="AC34" s="296"/>
      <c r="AD34" s="296"/>
      <c r="AE34" s="296"/>
    </row>
    <row r="35" spans="2:31" ht="12.75">
      <c r="B35" s="102">
        <v>30</v>
      </c>
      <c r="C35" s="101" t="s">
        <v>2521</v>
      </c>
      <c r="E35" s="52">
        <v>18</v>
      </c>
      <c r="F35" s="53">
        <v>10</v>
      </c>
      <c r="G35" s="54">
        <v>85</v>
      </c>
      <c r="H35" s="55">
        <v>42</v>
      </c>
      <c r="I35" s="54">
        <v>230</v>
      </c>
      <c r="J35" s="55">
        <v>460</v>
      </c>
      <c r="K35" s="53">
        <v>42</v>
      </c>
      <c r="L35" s="53">
        <v>34</v>
      </c>
      <c r="M35" s="53">
        <v>12</v>
      </c>
      <c r="N35" s="53">
        <v>3</v>
      </c>
      <c r="O35" s="53">
        <v>3</v>
      </c>
      <c r="Q35" s="39" t="s">
        <v>1173</v>
      </c>
      <c r="R35" s="297"/>
      <c r="Y35" s="296"/>
      <c r="Z35" s="296"/>
      <c r="AA35" s="296"/>
      <c r="AB35" s="296"/>
      <c r="AC35" s="296"/>
      <c r="AD35" s="296"/>
      <c r="AE35" s="296"/>
    </row>
    <row r="36" spans="2:31" ht="12.75">
      <c r="B36" s="102">
        <v>31</v>
      </c>
      <c r="C36" s="101" t="s">
        <v>2590</v>
      </c>
      <c r="E36" s="52">
        <v>19</v>
      </c>
      <c r="F36" s="53">
        <v>10</v>
      </c>
      <c r="G36" s="54">
        <v>90</v>
      </c>
      <c r="H36" s="55">
        <v>45</v>
      </c>
      <c r="I36" s="54">
        <v>270</v>
      </c>
      <c r="J36" s="55">
        <v>540</v>
      </c>
      <c r="K36" s="53">
        <v>43</v>
      </c>
      <c r="L36" s="53">
        <v>35</v>
      </c>
      <c r="M36" s="53">
        <v>12</v>
      </c>
      <c r="N36" s="53">
        <v>3</v>
      </c>
      <c r="O36" s="53">
        <v>3</v>
      </c>
      <c r="Q36" s="47" t="s">
        <v>1803</v>
      </c>
      <c r="R36" s="47" t="s">
        <v>2385</v>
      </c>
      <c r="S36" s="296"/>
      <c r="Y36" s="296"/>
      <c r="Z36" s="296"/>
      <c r="AA36" s="296"/>
      <c r="AB36" s="296"/>
      <c r="AC36" s="296"/>
      <c r="AD36" s="296"/>
      <c r="AE36" s="296"/>
    </row>
    <row r="37" spans="2:31" ht="12.75">
      <c r="B37" s="102">
        <v>32</v>
      </c>
      <c r="C37" s="101" t="s">
        <v>2591</v>
      </c>
      <c r="E37" s="52">
        <v>20</v>
      </c>
      <c r="F37" s="53">
        <v>10</v>
      </c>
      <c r="G37" s="54">
        <v>100</v>
      </c>
      <c r="H37" s="55">
        <v>50</v>
      </c>
      <c r="I37" s="54">
        <v>315</v>
      </c>
      <c r="J37" s="55">
        <v>630</v>
      </c>
      <c r="K37" s="53">
        <v>44</v>
      </c>
      <c r="L37" s="53">
        <v>36</v>
      </c>
      <c r="M37" s="53">
        <v>13</v>
      </c>
      <c r="N37" s="53">
        <v>4</v>
      </c>
      <c r="O37" s="53">
        <v>4</v>
      </c>
      <c r="Q37" s="390">
        <v>0</v>
      </c>
      <c r="R37" s="390">
        <v>0</v>
      </c>
      <c r="Y37" s="296"/>
      <c r="Z37" s="296"/>
      <c r="AA37" s="296"/>
      <c r="AB37" s="296"/>
      <c r="AC37" s="296"/>
      <c r="AD37" s="296"/>
      <c r="AE37" s="296"/>
    </row>
    <row r="38" spans="2:31" ht="12.75">
      <c r="B38" s="102">
        <v>33</v>
      </c>
      <c r="C38" s="101" t="s">
        <v>2593</v>
      </c>
      <c r="E38" s="52">
        <v>21</v>
      </c>
      <c r="F38" s="53">
        <v>11</v>
      </c>
      <c r="G38" s="54">
        <v>110</v>
      </c>
      <c r="H38" s="55">
        <v>55</v>
      </c>
      <c r="I38" s="54">
        <v>360</v>
      </c>
      <c r="J38" s="55">
        <v>735</v>
      </c>
      <c r="K38" s="53">
        <v>46</v>
      </c>
      <c r="L38" s="53">
        <v>39</v>
      </c>
      <c r="M38" s="53">
        <v>13</v>
      </c>
      <c r="N38" s="53">
        <v>4</v>
      </c>
      <c r="O38" s="53">
        <v>4</v>
      </c>
      <c r="Q38" s="301">
        <v>1</v>
      </c>
      <c r="R38" s="302">
        <v>800</v>
      </c>
      <c r="S38" s="296"/>
      <c r="Y38" s="296"/>
      <c r="Z38" s="296"/>
      <c r="AA38" s="296"/>
      <c r="AB38" s="296"/>
      <c r="AC38" s="296"/>
      <c r="AD38" s="296"/>
      <c r="AE38" s="296"/>
    </row>
    <row r="39" spans="2:31" ht="12.75">
      <c r="B39" s="102">
        <v>34</v>
      </c>
      <c r="C39" s="101" t="s">
        <v>2596</v>
      </c>
      <c r="E39" s="52">
        <v>22</v>
      </c>
      <c r="F39" s="53">
        <v>11</v>
      </c>
      <c r="G39" s="54">
        <v>120</v>
      </c>
      <c r="H39" s="55">
        <v>60</v>
      </c>
      <c r="I39" s="54">
        <v>430</v>
      </c>
      <c r="J39" s="55">
        <v>860</v>
      </c>
      <c r="K39" s="53">
        <v>47</v>
      </c>
      <c r="L39" s="53">
        <v>40</v>
      </c>
      <c r="M39" s="53">
        <v>13</v>
      </c>
      <c r="N39" s="53">
        <v>4</v>
      </c>
      <c r="O39" s="53">
        <v>4</v>
      </c>
      <c r="Q39" s="301">
        <v>2</v>
      </c>
      <c r="R39" s="302">
        <v>2100</v>
      </c>
      <c r="S39" s="296"/>
      <c r="Y39" s="296"/>
      <c r="Z39" s="296"/>
      <c r="AA39" s="296"/>
      <c r="AB39" s="296"/>
      <c r="AC39" s="296"/>
      <c r="AD39" s="296"/>
      <c r="AE39" s="296"/>
    </row>
    <row r="40" spans="2:30" ht="12.75">
      <c r="B40" s="102">
        <v>35</v>
      </c>
      <c r="C40" s="101" t="s">
        <v>2546</v>
      </c>
      <c r="E40" s="52">
        <v>23</v>
      </c>
      <c r="F40" s="53">
        <v>12</v>
      </c>
      <c r="G40" s="54">
        <v>130</v>
      </c>
      <c r="H40" s="55">
        <v>65</v>
      </c>
      <c r="I40" s="54">
        <v>500</v>
      </c>
      <c r="J40" s="55">
        <v>1000</v>
      </c>
      <c r="K40" s="53">
        <v>48</v>
      </c>
      <c r="L40" s="53">
        <v>41</v>
      </c>
      <c r="M40" s="53">
        <v>14</v>
      </c>
      <c r="N40" s="53">
        <v>4</v>
      </c>
      <c r="O40" s="53">
        <v>5</v>
      </c>
      <c r="Q40" s="301">
        <v>3</v>
      </c>
      <c r="R40" s="302">
        <v>4200</v>
      </c>
      <c r="S40" s="296"/>
      <c r="Y40" s="296"/>
      <c r="Z40" s="296"/>
      <c r="AA40" s="296"/>
      <c r="AB40" s="296"/>
      <c r="AC40" s="296"/>
      <c r="AD40" s="296"/>
    </row>
    <row r="41" spans="2:30" ht="12.75">
      <c r="B41" s="102">
        <v>36</v>
      </c>
      <c r="C41" s="101" t="s">
        <v>800</v>
      </c>
      <c r="E41" s="52">
        <v>24</v>
      </c>
      <c r="F41" s="53">
        <v>12</v>
      </c>
      <c r="G41" s="54">
        <v>140</v>
      </c>
      <c r="H41" s="55">
        <v>70</v>
      </c>
      <c r="I41" s="54">
        <v>580</v>
      </c>
      <c r="J41" s="55">
        <v>1160</v>
      </c>
      <c r="K41" s="53">
        <v>50</v>
      </c>
      <c r="L41" s="53">
        <v>43</v>
      </c>
      <c r="M41" s="53">
        <v>14</v>
      </c>
      <c r="N41" s="53">
        <v>4</v>
      </c>
      <c r="O41" s="53">
        <v>5</v>
      </c>
      <c r="Q41" s="301">
        <v>4</v>
      </c>
      <c r="R41" s="302">
        <v>7600</v>
      </c>
      <c r="S41" s="296"/>
      <c r="Y41" s="296"/>
      <c r="Z41" s="296"/>
      <c r="AA41" s="296"/>
      <c r="AB41" s="296"/>
      <c r="AC41" s="296"/>
      <c r="AD41" s="296"/>
    </row>
    <row r="42" spans="2:30" ht="12.75">
      <c r="B42" s="102">
        <v>37</v>
      </c>
      <c r="C42" s="101" t="s">
        <v>801</v>
      </c>
      <c r="E42" s="52">
        <v>25</v>
      </c>
      <c r="F42" s="53">
        <v>13</v>
      </c>
      <c r="G42" s="53">
        <v>150</v>
      </c>
      <c r="H42" s="55">
        <v>75</v>
      </c>
      <c r="I42" s="54">
        <v>675</v>
      </c>
      <c r="J42" s="55">
        <v>1350</v>
      </c>
      <c r="K42" s="53">
        <v>51</v>
      </c>
      <c r="L42" s="53">
        <v>44</v>
      </c>
      <c r="M42" s="53">
        <v>15</v>
      </c>
      <c r="N42" s="53">
        <v>4</v>
      </c>
      <c r="O42" s="53">
        <v>5</v>
      </c>
      <c r="Q42" s="303">
        <v>5</v>
      </c>
      <c r="R42" s="304">
        <v>13100</v>
      </c>
      <c r="S42" s="296"/>
      <c r="Y42" s="296"/>
      <c r="Z42" s="296"/>
      <c r="AA42" s="296"/>
      <c r="AB42" s="296"/>
      <c r="AD42" s="296"/>
    </row>
    <row r="43" spans="2:30" ht="12.75">
      <c r="B43" s="102">
        <v>38</v>
      </c>
      <c r="C43" s="101" t="s">
        <v>802</v>
      </c>
      <c r="E43" s="52">
        <v>26</v>
      </c>
      <c r="F43" s="53">
        <v>13</v>
      </c>
      <c r="G43" s="54">
        <v>160</v>
      </c>
      <c r="H43" s="55">
        <v>80</v>
      </c>
      <c r="I43" s="54">
        <v>790</v>
      </c>
      <c r="J43" s="55">
        <v>1580</v>
      </c>
      <c r="K43" s="53">
        <v>52</v>
      </c>
      <c r="L43" s="53">
        <v>45</v>
      </c>
      <c r="M43" s="53">
        <v>15</v>
      </c>
      <c r="N43" s="53">
        <v>5</v>
      </c>
      <c r="O43" s="53">
        <v>6</v>
      </c>
      <c r="S43" s="296"/>
      <c r="Y43" s="296"/>
      <c r="Z43" s="296"/>
      <c r="AA43" s="296"/>
      <c r="AB43" s="296"/>
      <c r="AD43" s="296"/>
    </row>
    <row r="44" spans="2:30" ht="12.75">
      <c r="B44" s="102">
        <v>39</v>
      </c>
      <c r="C44" s="101" t="s">
        <v>803</v>
      </c>
      <c r="E44" s="52">
        <v>27</v>
      </c>
      <c r="F44" s="53">
        <v>13</v>
      </c>
      <c r="G44" s="54">
        <v>170</v>
      </c>
      <c r="H44" s="55">
        <v>85</v>
      </c>
      <c r="I44" s="54">
        <v>920</v>
      </c>
      <c r="J44" s="55">
        <v>1840</v>
      </c>
      <c r="K44" s="53">
        <v>54</v>
      </c>
      <c r="L44" s="53">
        <v>47</v>
      </c>
      <c r="M44" s="53">
        <v>15</v>
      </c>
      <c r="N44" s="53">
        <v>5</v>
      </c>
      <c r="O44" s="53">
        <v>6</v>
      </c>
      <c r="Q44" s="39" t="s">
        <v>1188</v>
      </c>
      <c r="R44" s="297"/>
      <c r="Y44" s="296"/>
      <c r="Z44" s="296"/>
      <c r="AA44" s="296"/>
      <c r="AB44" s="296"/>
      <c r="AD44" s="296"/>
    </row>
    <row r="45" spans="2:30" ht="12.75">
      <c r="B45" s="102">
        <v>40</v>
      </c>
      <c r="C45" s="101" t="s">
        <v>804</v>
      </c>
      <c r="E45" s="52">
        <v>28</v>
      </c>
      <c r="F45" s="53">
        <v>14</v>
      </c>
      <c r="G45" s="54">
        <v>180</v>
      </c>
      <c r="H45" s="55">
        <v>90</v>
      </c>
      <c r="I45" s="54">
        <v>1075</v>
      </c>
      <c r="J45" s="55">
        <v>2150</v>
      </c>
      <c r="K45" s="53">
        <v>55</v>
      </c>
      <c r="L45" s="53">
        <v>48</v>
      </c>
      <c r="M45" s="53">
        <v>16</v>
      </c>
      <c r="N45" s="53">
        <v>5</v>
      </c>
      <c r="O45" s="53">
        <v>6</v>
      </c>
      <c r="Q45" s="47" t="s">
        <v>1804</v>
      </c>
      <c r="R45" s="47" t="s">
        <v>2570</v>
      </c>
      <c r="Y45" s="296"/>
      <c r="Z45" s="296"/>
      <c r="AA45" s="296"/>
      <c r="AB45" s="296"/>
      <c r="AD45" s="296"/>
    </row>
    <row r="46" spans="2:30" ht="12.75">
      <c r="B46" s="102">
        <v>41</v>
      </c>
      <c r="C46" s="101" t="s">
        <v>805</v>
      </c>
      <c r="E46" s="52">
        <v>29</v>
      </c>
      <c r="F46" s="53">
        <v>14</v>
      </c>
      <c r="G46" s="54">
        <v>200</v>
      </c>
      <c r="H46" s="55">
        <v>100</v>
      </c>
      <c r="I46" s="54">
        <v>1200</v>
      </c>
      <c r="J46" s="55">
        <v>2500</v>
      </c>
      <c r="K46" s="53">
        <v>56</v>
      </c>
      <c r="L46" s="53">
        <v>49</v>
      </c>
      <c r="M46" s="53">
        <v>16</v>
      </c>
      <c r="N46" s="53">
        <v>5</v>
      </c>
      <c r="O46" s="53">
        <v>7</v>
      </c>
      <c r="Q46" s="301">
        <v>0</v>
      </c>
      <c r="R46" s="302">
        <v>0</v>
      </c>
      <c r="S46" s="41" t="s">
        <v>1192</v>
      </c>
      <c r="Y46" s="296"/>
      <c r="Z46" s="296"/>
      <c r="AA46" s="296"/>
      <c r="AB46" s="296"/>
      <c r="AD46" s="296"/>
    </row>
    <row r="47" spans="2:30" ht="12.75">
      <c r="B47" s="102">
        <v>42</v>
      </c>
      <c r="C47" s="101" t="s">
        <v>806</v>
      </c>
      <c r="E47" s="45">
        <v>30</v>
      </c>
      <c r="F47" s="46">
        <v>15</v>
      </c>
      <c r="G47" s="56">
        <v>220</v>
      </c>
      <c r="H47" s="108">
        <v>110</v>
      </c>
      <c r="I47" s="56">
        <v>1450</v>
      </c>
      <c r="J47" s="108">
        <v>2900</v>
      </c>
      <c r="K47" s="46">
        <v>58</v>
      </c>
      <c r="L47" s="46">
        <v>51</v>
      </c>
      <c r="M47" s="46">
        <v>17</v>
      </c>
      <c r="N47" s="46">
        <v>5</v>
      </c>
      <c r="O47" s="46">
        <v>7</v>
      </c>
      <c r="Q47" s="301">
        <v>10000</v>
      </c>
      <c r="R47" s="302">
        <v>1</v>
      </c>
      <c r="S47" s="41" t="s">
        <v>1193</v>
      </c>
      <c r="Y47" s="296"/>
      <c r="Z47" s="296"/>
      <c r="AA47" s="296"/>
      <c r="AB47" s="296"/>
      <c r="AD47" s="296"/>
    </row>
    <row r="48" spans="2:30" ht="12.75">
      <c r="B48" s="102">
        <v>43</v>
      </c>
      <c r="C48" s="101" t="s">
        <v>807</v>
      </c>
      <c r="Q48" s="301">
        <v>40000</v>
      </c>
      <c r="R48" s="302">
        <v>2</v>
      </c>
      <c r="Y48" s="296"/>
      <c r="Z48" s="296"/>
      <c r="AA48" s="296"/>
      <c r="AB48" s="296"/>
      <c r="AD48" s="296"/>
    </row>
    <row r="49" spans="2:30" ht="12.75">
      <c r="B49" s="102">
        <v>44</v>
      </c>
      <c r="C49" s="101" t="s">
        <v>808</v>
      </c>
      <c r="Q49" s="301">
        <v>160000</v>
      </c>
      <c r="R49" s="302">
        <v>3</v>
      </c>
      <c r="X49" s="296"/>
      <c r="Y49" s="296"/>
      <c r="Z49" s="296"/>
      <c r="AA49" s="296"/>
      <c r="AB49" s="296"/>
      <c r="AD49" s="296"/>
    </row>
    <row r="50" spans="2:30" ht="12.75">
      <c r="B50" s="103">
        <v>45</v>
      </c>
      <c r="C50" s="103" t="s">
        <v>809</v>
      </c>
      <c r="Q50" s="301">
        <v>640000</v>
      </c>
      <c r="R50" s="302">
        <v>4</v>
      </c>
      <c r="X50" s="296"/>
      <c r="Y50" s="296"/>
      <c r="Z50" s="296"/>
      <c r="AA50" s="296"/>
      <c r="AB50" s="296"/>
      <c r="AD50" s="296"/>
    </row>
    <row r="51" spans="17:25" ht="12.75">
      <c r="Q51" s="303">
        <v>2560000</v>
      </c>
      <c r="R51" s="304">
        <v>5</v>
      </c>
      <c r="X51" s="296"/>
      <c r="Y51" s="296"/>
    </row>
    <row r="52" spans="24:25" ht="12.75">
      <c r="X52" s="296"/>
      <c r="Y52" s="296"/>
    </row>
    <row r="53" spans="24:25" ht="12.75">
      <c r="X53" s="296"/>
      <c r="Y53" s="296"/>
    </row>
    <row r="54" spans="24:25" ht="12.75">
      <c r="X54" s="296"/>
      <c r="Y54" s="296"/>
    </row>
    <row r="55" spans="24:25" ht="12.75">
      <c r="X55" s="296"/>
      <c r="Y55" s="296"/>
    </row>
    <row r="56" spans="24:25" ht="12.75">
      <c r="X56" s="296"/>
      <c r="Y56" s="296"/>
    </row>
    <row r="57" spans="24:25" ht="12.75">
      <c r="X57" s="296"/>
      <c r="Y57" s="296"/>
    </row>
    <row r="58" spans="24:25" ht="12.75">
      <c r="X58" s="296"/>
      <c r="Y58" s="296"/>
    </row>
    <row r="59" spans="24:25" ht="12.75">
      <c r="X59" s="296"/>
      <c r="Y59" s="296"/>
    </row>
    <row r="60" spans="24:25" ht="12.75">
      <c r="X60" s="296"/>
      <c r="Y60" s="296"/>
    </row>
    <row r="61" spans="24:25" ht="12.75">
      <c r="X61" s="296"/>
      <c r="Y61" s="296"/>
    </row>
    <row r="62" spans="24:25" ht="12.75">
      <c r="X62" s="296"/>
      <c r="Y62" s="296"/>
    </row>
    <row r="63" spans="24:25" ht="12.75">
      <c r="X63" s="296"/>
      <c r="Y63" s="296"/>
    </row>
    <row r="64" spans="17:25" ht="12.75">
      <c r="Q64" s="150"/>
      <c r="R64" s="150"/>
      <c r="X64" s="296"/>
      <c r="Y64" s="296"/>
    </row>
    <row r="65" spans="24:25" ht="12.75">
      <c r="X65" s="296"/>
      <c r="Y65" s="296"/>
    </row>
    <row r="66" spans="24:25" ht="12.75">
      <c r="X66" s="296"/>
      <c r="Y66" s="296"/>
    </row>
    <row r="67" spans="24:25" ht="12.75">
      <c r="X67" s="296"/>
      <c r="Y67" s="296"/>
    </row>
    <row r="68" spans="24:25" ht="12.75">
      <c r="X68" s="296"/>
      <c r="Y68" s="296"/>
    </row>
    <row r="69" spans="24:25" ht="12.75">
      <c r="X69" s="296"/>
      <c r="Y69" s="296"/>
    </row>
    <row r="70" spans="24:25" ht="12.75">
      <c r="X70" s="296"/>
      <c r="Y70" s="296"/>
    </row>
    <row r="71" spans="24:25" ht="12.75">
      <c r="X71" s="296"/>
      <c r="Y71" s="296"/>
    </row>
    <row r="72" spans="24:25" ht="12.75">
      <c r="X72" s="296"/>
      <c r="Y72" s="296"/>
    </row>
    <row r="73" spans="24:25" ht="12.75">
      <c r="X73" s="296"/>
      <c r="Y73" s="296"/>
    </row>
    <row r="74" spans="24:25" ht="12.75">
      <c r="X74" s="296"/>
      <c r="Y74" s="296"/>
    </row>
    <row r="75" spans="24:25" ht="12.75">
      <c r="X75" s="296"/>
      <c r="Y75" s="296"/>
    </row>
    <row r="76" spans="24:25" ht="12.75">
      <c r="X76" s="296"/>
      <c r="Y76" s="296"/>
    </row>
    <row r="77" spans="24:25" ht="12.75">
      <c r="X77" s="296"/>
      <c r="Y77" s="296"/>
    </row>
  </sheetData>
  <mergeCells count="2">
    <mergeCell ref="S3:T3"/>
    <mergeCell ref="Y15:Z15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 Harrison</cp:lastModifiedBy>
  <cp:lastPrinted>2000-04-22T06:55:56Z</cp:lastPrinted>
  <dcterms:created xsi:type="dcterms:W3CDTF">1999-09-15T14:47:43Z</dcterms:created>
  <dcterms:modified xsi:type="dcterms:W3CDTF">2000-04-26T03:20:33Z</dcterms:modified>
  <cp:category/>
  <cp:version/>
  <cp:contentType/>
  <cp:contentStatus/>
</cp:coreProperties>
</file>